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Бушуева ОВ\Downloads\"/>
    </mc:Choice>
  </mc:AlternateContent>
  <xr:revisionPtr revIDLastSave="0" documentId="13_ncr:1_{963919AD-5F93-4C05-ABD3-D1C35CDDCE2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НМЦК" sheetId="20" r:id="rId1"/>
    <sheet name="в учр" sheetId="12" state="hidden" r:id="rId2"/>
    <sheet name="2021" sheetId="9" state="hidden" r:id="rId3"/>
    <sheet name="2019год" sheetId="7" state="hidden" r:id="rId4"/>
    <sheet name="11 мес 2018 " sheetId="5" state="hidden" r:id="rId5"/>
    <sheet name="12 мес 2018" sheetId="4" state="hidden" r:id="rId6"/>
    <sheet name="без ув 11 м_для А.В." sheetId="2" state="hidden" r:id="rId7"/>
    <sheet name="охрана_231015 " sheetId="1" state="hidden" r:id="rId8"/>
  </sheets>
  <externalReferences>
    <externalReference r:id="rId9"/>
  </externalReferences>
  <definedNames>
    <definedName name="_1.1.4._Комп_оборуд__иные_образовательные_учреждения" localSheetId="4">'[1]план-программы'!#REF!</definedName>
    <definedName name="_1.1.4._Комп_оборуд__иные_образовательные_учреждения" localSheetId="5">'[1]план-программы'!#REF!</definedName>
    <definedName name="_1.1.4._Комп_оборуд__иные_образовательные_учреждения" localSheetId="3">'[1]план-программы'!#REF!</definedName>
    <definedName name="_1.1.4._Комп_оборуд__иные_образовательные_учреждения" localSheetId="2">'[1]план-программы'!#REF!</definedName>
    <definedName name="_1.1.4._Комп_оборуд__иные_образовательные_учреждения" localSheetId="6">'[1]план-программы'!#REF!</definedName>
    <definedName name="_1.1.4._Комп_оборуд__иные_образовательные_учреждения" localSheetId="1">'[1]план-программы'!#REF!</definedName>
    <definedName name="_1.1.4._Комп_оборуд__иные_образовательные_учреждения" localSheetId="0">'[1]план-программы'!#REF!</definedName>
    <definedName name="_1.1.4._Комп_оборуд__иные_образовательные_учреждения" localSheetId="7">'[1]план-программы'!#REF!</definedName>
    <definedName name="_1.1.4._Комп_оборуд__иные_образовательные_учреждения">'[1]план-программы'!#REF!</definedName>
    <definedName name="_1.2._Сервера" localSheetId="4">'[1]план-программы'!#REF!</definedName>
    <definedName name="_1.2._Сервера" localSheetId="5">'[1]план-программы'!#REF!</definedName>
    <definedName name="_1.2._Сервера" localSheetId="3">'[1]план-программы'!#REF!</definedName>
    <definedName name="_1.2._Сервера" localSheetId="2">'[1]план-программы'!#REF!</definedName>
    <definedName name="_1.2._Сервера" localSheetId="6">'[1]план-программы'!#REF!</definedName>
    <definedName name="_1.2._Сервера" localSheetId="1">'[1]план-программы'!#REF!</definedName>
    <definedName name="_1.2._Сервера" localSheetId="0">'[1]план-программы'!#REF!</definedName>
    <definedName name="_1.2._Сервера" localSheetId="7">'[1]план-программы'!#REF!</definedName>
    <definedName name="_1.2._Сервера">'[1]план-программы'!#REF!</definedName>
    <definedName name="_1.4.Проекционное_и_мультимедийное_оборудование" localSheetId="4">'[1]план-программы'!#REF!</definedName>
    <definedName name="_1.4.Проекционное_и_мультимедийное_оборудование" localSheetId="5">'[1]план-программы'!#REF!</definedName>
    <definedName name="_1.4.Проекционное_и_мультимедийное_оборудование" localSheetId="3">'[1]план-программы'!#REF!</definedName>
    <definedName name="_1.4.Проекционное_и_мультимедийное_оборудование" localSheetId="2">'[1]план-программы'!#REF!</definedName>
    <definedName name="_1.4.Проекционное_и_мультимедийное_оборудование" localSheetId="6">'[1]план-программы'!#REF!</definedName>
    <definedName name="_1.4.Проекционное_и_мультимедийное_оборудование" localSheetId="1">'[1]план-программы'!#REF!</definedName>
    <definedName name="_1.4.Проекционное_и_мультимедийное_оборудование" localSheetId="0">'[1]план-программы'!#REF!</definedName>
    <definedName name="_1.4.Проекционное_и_мультимедийное_оборудование" localSheetId="7">'[1]план-программы'!#REF!</definedName>
    <definedName name="_1.4.Проекционное_и_мультимедийное_оборудование">'[1]план-программы'!#REF!</definedName>
    <definedName name="_1.5._Периферийное_оборудование_и_оргтехника" localSheetId="4">'[1]план-программы'!#REF!</definedName>
    <definedName name="_1.5._Периферийное_оборудование_и_оргтехника" localSheetId="5">'[1]план-программы'!#REF!</definedName>
    <definedName name="_1.5._Периферийное_оборудование_и_оргтехника" localSheetId="3">'[1]план-программы'!#REF!</definedName>
    <definedName name="_1.5._Периферийное_оборудование_и_оргтехника" localSheetId="2">'[1]план-программы'!#REF!</definedName>
    <definedName name="_1.5._Периферийное_оборудование_и_оргтехника" localSheetId="6">'[1]план-программы'!#REF!</definedName>
    <definedName name="_1.5._Периферийное_оборудование_и_оргтехника" localSheetId="1">'[1]план-программы'!#REF!</definedName>
    <definedName name="_1.5._Периферийное_оборудование_и_оргтехника" localSheetId="0">'[1]план-программы'!#REF!</definedName>
    <definedName name="_1.5._Периферийное_оборудование_и_оргтехника" localSheetId="7">'[1]план-программы'!#REF!</definedName>
    <definedName name="_1.5._Периферийное_оборудование_и_оргтехника">'[1]план-программы'!#REF!</definedName>
    <definedName name="_2.4._Созд_мат_тех_базы_центров_сервисного_обслуживания" localSheetId="4">'[1]план-программы'!#REF!</definedName>
    <definedName name="_2.4._Созд_мат_тех_базы_центров_сервисного_обслуживания" localSheetId="5">'[1]план-программы'!#REF!</definedName>
    <definedName name="_2.4._Созд_мат_тех_базы_центров_сервисного_обслуживания" localSheetId="3">'[1]план-программы'!#REF!</definedName>
    <definedName name="_2.4._Созд_мат_тех_базы_центров_сервисного_обслуживания" localSheetId="2">'[1]план-программы'!#REF!</definedName>
    <definedName name="_2.4._Созд_мат_тех_базы_центров_сервисного_обслуживания" localSheetId="6">'[1]план-программы'!#REF!</definedName>
    <definedName name="_2.4._Созд_мат_тех_базы_центров_сервисного_обслуживания" localSheetId="1">'[1]план-программы'!#REF!</definedName>
    <definedName name="_2.4._Созд_мат_тех_базы_центров_сервисного_обслуживания" localSheetId="0">'[1]план-программы'!#REF!</definedName>
    <definedName name="_2.4._Созд_мат_тех_базы_центров_сервисного_обслуживания" localSheetId="7">'[1]план-программы'!#REF!</definedName>
    <definedName name="_2.4._Созд_мат_тех_базы_центров_сервисного_обслуживания">'[1]план-программы'!#REF!</definedName>
    <definedName name="_xlnm._FilterDatabase" localSheetId="4" hidden="1">'11 мес 2018 '!$A$4:$AD$131</definedName>
    <definedName name="_xlnm._FilterDatabase" localSheetId="5" hidden="1">'12 мес 2018'!$A$4:$AD$131</definedName>
    <definedName name="_xlnm._FilterDatabase" localSheetId="3" hidden="1">'2019год'!$A$4:$AB$147</definedName>
    <definedName name="_xlnm._FilterDatabase" localSheetId="2" hidden="1">'2021'!$B$4:$AP$55</definedName>
    <definedName name="_xlnm._FilterDatabase" localSheetId="6" hidden="1">'без ув 11 м_для А.В.'!$A$4:$W$122</definedName>
    <definedName name="_xlnm._FilterDatabase" localSheetId="1" hidden="1">'в учр'!$A$3:$AG$178</definedName>
    <definedName name="_xlnm._FilterDatabase" localSheetId="0" hidden="1">НМЦК!$A$6:$AL$9</definedName>
    <definedName name="_xlnm._FilterDatabase" localSheetId="7" hidden="1">'охрана_231015 '!$A$4:$AD$113</definedName>
    <definedName name="_xlnm.Print_Titles" localSheetId="4">'11 мес 2018 '!$A:$B,'11 мес 2018 '!$2:$4</definedName>
    <definedName name="_xlnm.Print_Titles" localSheetId="5">'12 мес 2018'!$A:$B,'12 мес 2018'!$2:$4</definedName>
    <definedName name="_xlnm.Print_Titles" localSheetId="3">'2019год'!$A:$B,'2019год'!$2:$4</definedName>
    <definedName name="_xlnm.Print_Titles" localSheetId="2">'2021'!$B:$C,'2021'!$2:$4</definedName>
    <definedName name="_xlnm.Print_Titles" localSheetId="6">'без ув 11 м_для А.В.'!$A:$B,'без ув 11 м_для А.В.'!$2:$4</definedName>
    <definedName name="_xlnm.Print_Titles" localSheetId="1">'в учр'!$B:$B,'в учр'!$2:$2</definedName>
    <definedName name="_xlnm.Print_Titles" localSheetId="7">'охрана_231015 '!$A:$B,'охрана_231015 '!$2:$4</definedName>
    <definedName name="Комп_оборуд__иные_образовательные_учреждения" localSheetId="4">'[1]план-программы'!#REF!</definedName>
    <definedName name="Комп_оборуд__иные_образовательные_учреждения" localSheetId="5">'[1]план-программы'!#REF!</definedName>
    <definedName name="Комп_оборуд__иные_образовательные_учреждения" localSheetId="3">'[1]план-программы'!#REF!</definedName>
    <definedName name="Комп_оборуд__иные_образовательные_учреждения" localSheetId="2">'[1]план-программы'!#REF!</definedName>
    <definedName name="Комп_оборуд__иные_образовательные_учреждения" localSheetId="6">'[1]план-программы'!#REF!</definedName>
    <definedName name="Комп_оборуд__иные_образовательные_учреждения" localSheetId="1">'[1]план-программы'!#REF!</definedName>
    <definedName name="Комп_оборуд__иные_образовательные_учреждения" localSheetId="0">'[1]план-программы'!#REF!</definedName>
    <definedName name="Комп_оборуд__иные_образовательные_учреждения" localSheetId="7">'[1]план-программы'!#REF!</definedName>
    <definedName name="Комп_оборуд__иные_образовательные_учреждения">'[1]план-программы'!#REF!</definedName>
    <definedName name="Комп_оборуд__подведомственные_комитету_учреждения" localSheetId="4">'[1]план-программы'!#REF!</definedName>
    <definedName name="Комп_оборуд__подведомственные_комитету_учреждения" localSheetId="5">'[1]план-программы'!#REF!</definedName>
    <definedName name="Комп_оборуд__подведомственные_комитету_учреждения" localSheetId="3">'[1]план-программы'!#REF!</definedName>
    <definedName name="Комп_оборуд__подведомственные_комитету_учреждения" localSheetId="2">'[1]план-программы'!#REF!</definedName>
    <definedName name="Комп_оборуд__подведомственные_комитету_учреждения" localSheetId="6">'[1]план-программы'!#REF!</definedName>
    <definedName name="Комп_оборуд__подведомственные_комитету_учреждения" localSheetId="1">'[1]план-программы'!#REF!</definedName>
    <definedName name="Комп_оборуд__подведомственные_комитету_учреждения" localSheetId="0">'[1]план-программы'!#REF!</definedName>
    <definedName name="Комп_оборуд__подведомственные_комитету_учреждения" localSheetId="7">'[1]план-программы'!#REF!</definedName>
    <definedName name="Комп_оборуд__подведомственные_комитету_учреждения">'[1]план-программы'!#REF!</definedName>
    <definedName name="_xlnm.Print_Area" localSheetId="4">'11 мес 2018 '!$A$1:$Z$130</definedName>
    <definedName name="_xlnm.Print_Area" localSheetId="5">'12 мес 2018'!$A$1:$Z$130</definedName>
    <definedName name="_xlnm.Print_Area" localSheetId="3">'2019год'!$A$2:$X$146</definedName>
    <definedName name="_xlnm.Print_Area" localSheetId="2">'2021'!$A$1:$BI$222</definedName>
    <definedName name="_xlnm.Print_Area" localSheetId="6">'без ув 11 м_для А.В.'!$A$1:$X$117</definedName>
    <definedName name="_xlnm.Print_Area" localSheetId="1">'в учр'!$A$1:$J$178</definedName>
    <definedName name="_xlnm.Print_Area" localSheetId="0">НМЦК!$A$3:$AK$9</definedName>
    <definedName name="_xlnm.Print_Area" localSheetId="7">'охрана_231015 '!$A$1:$AK$113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L8" i="20" l="1"/>
  <c r="AL7" i="20"/>
  <c r="AM8" i="20"/>
  <c r="AM7" i="20"/>
  <c r="AD8" i="20" l="1"/>
  <c r="N8" i="20"/>
  <c r="U8" i="20" s="1"/>
  <c r="R8" i="20" l="1"/>
  <c r="W8" i="20" s="1"/>
  <c r="Y8" i="20" l="1"/>
  <c r="AC8" i="20" s="1"/>
  <c r="AF8" i="20" l="1"/>
  <c r="N7" i="20"/>
  <c r="U7" i="20" s="1"/>
  <c r="AD7" i="20"/>
  <c r="AG8" i="20" l="1"/>
  <c r="AI8" i="20" s="1"/>
  <c r="AJ8" i="20" s="1"/>
  <c r="AK8" i="20" s="1"/>
  <c r="R7" i="20"/>
  <c r="AN8" i="20" l="1"/>
  <c r="W7" i="20"/>
  <c r="Y7" i="20" s="1"/>
  <c r="AC7" i="20" s="1"/>
  <c r="AQ174" i="9"/>
  <c r="AP174" i="9"/>
  <c r="AQ172" i="9"/>
  <c r="AP172" i="9"/>
  <c r="AQ167" i="9"/>
  <c r="AP167" i="9"/>
  <c r="AQ157" i="9"/>
  <c r="AP157" i="9"/>
  <c r="AQ155" i="9"/>
  <c r="AP155" i="9"/>
  <c r="AQ148" i="9"/>
  <c r="AP148" i="9"/>
  <c r="AQ103" i="9"/>
  <c r="AP103" i="9"/>
  <c r="AQ101" i="9"/>
  <c r="AP101" i="9"/>
  <c r="AQ96" i="9"/>
  <c r="AP96" i="9"/>
  <c r="AQ51" i="9"/>
  <c r="AP51" i="9"/>
  <c r="AQ35" i="9"/>
  <c r="AP35" i="9"/>
  <c r="AQ34" i="9"/>
  <c r="AP34" i="9"/>
  <c r="W217" i="9"/>
  <c r="AQ217" i="9"/>
  <c r="AP217" i="9"/>
  <c r="AQ216" i="9"/>
  <c r="AP216" i="9"/>
  <c r="AQ215" i="9"/>
  <c r="AP215" i="9"/>
  <c r="AQ214" i="9"/>
  <c r="AP214" i="9"/>
  <c r="AQ213" i="9"/>
  <c r="AP213" i="9"/>
  <c r="AR213" i="9" s="1"/>
  <c r="AV213" i="9" s="1"/>
  <c r="AQ212" i="9"/>
  <c r="AP212" i="9"/>
  <c r="AQ211" i="9"/>
  <c r="AP211" i="9"/>
  <c r="AQ210" i="9"/>
  <c r="AP210" i="9"/>
  <c r="AQ209" i="9"/>
  <c r="AP209" i="9"/>
  <c r="AQ208" i="9"/>
  <c r="AP208" i="9"/>
  <c r="AQ207" i="9"/>
  <c r="AP207" i="9"/>
  <c r="AQ206" i="9"/>
  <c r="AP206" i="9"/>
  <c r="AQ205" i="9"/>
  <c r="AP205" i="9"/>
  <c r="AQ204" i="9"/>
  <c r="AP204" i="9"/>
  <c r="AQ203" i="9"/>
  <c r="AP203" i="9"/>
  <c r="AQ202" i="9"/>
  <c r="AP202" i="9"/>
  <c r="AQ201" i="9"/>
  <c r="AP201" i="9"/>
  <c r="AQ200" i="9"/>
  <c r="AP200" i="9"/>
  <c r="AQ199" i="9"/>
  <c r="AP199" i="9"/>
  <c r="AQ198" i="9"/>
  <c r="AP198" i="9"/>
  <c r="BD198" i="9" s="1"/>
  <c r="AQ197" i="9"/>
  <c r="AP197" i="9"/>
  <c r="AQ196" i="9"/>
  <c r="AP196" i="9"/>
  <c r="AQ195" i="9"/>
  <c r="AP195" i="9"/>
  <c r="AQ194" i="9"/>
  <c r="AP194" i="9"/>
  <c r="AQ193" i="9"/>
  <c r="AP193" i="9"/>
  <c r="AQ191" i="9"/>
  <c r="AP191" i="9"/>
  <c r="BD191" i="9" s="1"/>
  <c r="AQ190" i="9"/>
  <c r="AP190" i="9"/>
  <c r="AQ189" i="9"/>
  <c r="AP189" i="9"/>
  <c r="AQ188" i="9"/>
  <c r="AP188" i="9"/>
  <c r="AQ187" i="9"/>
  <c r="AP187" i="9"/>
  <c r="AQ186" i="9"/>
  <c r="AP186" i="9"/>
  <c r="AQ185" i="9"/>
  <c r="AP185" i="9"/>
  <c r="AQ184" i="9"/>
  <c r="AP184" i="9"/>
  <c r="AQ183" i="9"/>
  <c r="AP183" i="9"/>
  <c r="BD183" i="9" s="1"/>
  <c r="AQ182" i="9"/>
  <c r="AP182" i="9"/>
  <c r="AQ181" i="9"/>
  <c r="AP181" i="9"/>
  <c r="AQ180" i="9"/>
  <c r="AP180" i="9"/>
  <c r="AQ173" i="9"/>
  <c r="AP173" i="9"/>
  <c r="AQ171" i="9"/>
  <c r="AP171" i="9"/>
  <c r="AQ170" i="9"/>
  <c r="AP170" i="9"/>
  <c r="AQ169" i="9"/>
  <c r="AP169" i="9"/>
  <c r="AQ168" i="9"/>
  <c r="AP168" i="9"/>
  <c r="BD168" i="9" s="1"/>
  <c r="AQ166" i="9"/>
  <c r="AP166" i="9"/>
  <c r="AQ165" i="9"/>
  <c r="AP165" i="9"/>
  <c r="AQ164" i="9"/>
  <c r="AP164" i="9"/>
  <c r="AQ163" i="9"/>
  <c r="AP163" i="9"/>
  <c r="AQ162" i="9"/>
  <c r="AP162" i="9"/>
  <c r="AQ161" i="9"/>
  <c r="AP161" i="9"/>
  <c r="AQ160" i="9"/>
  <c r="AP160" i="9"/>
  <c r="AQ159" i="9"/>
  <c r="AP159" i="9"/>
  <c r="AQ158" i="9"/>
  <c r="AP158" i="9"/>
  <c r="AX157" i="9" s="1"/>
  <c r="AQ156" i="9"/>
  <c r="AP156" i="9"/>
  <c r="AR156" i="9" s="1"/>
  <c r="AV156" i="9" s="1"/>
  <c r="AQ154" i="9"/>
  <c r="AP154" i="9"/>
  <c r="AQ153" i="9"/>
  <c r="AP153" i="9"/>
  <c r="AQ152" i="9"/>
  <c r="AP152" i="9"/>
  <c r="AQ151" i="9"/>
  <c r="AP151" i="9"/>
  <c r="AQ150" i="9"/>
  <c r="AP150" i="9"/>
  <c r="AQ149" i="9"/>
  <c r="AP149" i="9"/>
  <c r="AQ147" i="9"/>
  <c r="AP147" i="9"/>
  <c r="AQ146" i="9"/>
  <c r="AP146" i="9"/>
  <c r="AQ145" i="9"/>
  <c r="AP145" i="9"/>
  <c r="AQ144" i="9"/>
  <c r="AP144" i="9"/>
  <c r="AQ143" i="9"/>
  <c r="AP143" i="9"/>
  <c r="AQ142" i="9"/>
  <c r="AP142" i="9"/>
  <c r="AQ141" i="9"/>
  <c r="AP141" i="9"/>
  <c r="AQ138" i="9"/>
  <c r="AP138" i="9"/>
  <c r="AQ137" i="9"/>
  <c r="AP137" i="9"/>
  <c r="AQ136" i="9"/>
  <c r="AP136" i="9"/>
  <c r="AQ135" i="9"/>
  <c r="AP135" i="9"/>
  <c r="BD135" i="9" s="1"/>
  <c r="AQ134" i="9"/>
  <c r="AP134" i="9"/>
  <c r="AQ133" i="9"/>
  <c r="AP133" i="9"/>
  <c r="AQ132" i="9"/>
  <c r="AP132" i="9"/>
  <c r="AQ131" i="9"/>
  <c r="AP131" i="9"/>
  <c r="AQ130" i="9"/>
  <c r="AP130" i="9"/>
  <c r="AQ129" i="9"/>
  <c r="AP129" i="9"/>
  <c r="BD129" i="9" s="1"/>
  <c r="AQ128" i="9"/>
  <c r="AP128" i="9"/>
  <c r="AR128" i="9" s="1"/>
  <c r="AV128" i="9" s="1"/>
  <c r="AQ127" i="9"/>
  <c r="AP127" i="9"/>
  <c r="AQ126" i="9"/>
  <c r="AP126" i="9"/>
  <c r="AQ120" i="9"/>
  <c r="AP120" i="9"/>
  <c r="AQ119" i="9"/>
  <c r="AP119" i="9"/>
  <c r="AQ118" i="9"/>
  <c r="AP118" i="9"/>
  <c r="AQ117" i="9"/>
  <c r="AP117" i="9"/>
  <c r="AQ116" i="9"/>
  <c r="AP116" i="9"/>
  <c r="AQ115" i="9"/>
  <c r="AP115" i="9"/>
  <c r="AQ114" i="9"/>
  <c r="AP114" i="9"/>
  <c r="AQ113" i="9"/>
  <c r="AP113" i="9"/>
  <c r="AQ112" i="9"/>
  <c r="AP112" i="9"/>
  <c r="AQ111" i="9"/>
  <c r="AP111" i="9"/>
  <c r="AQ110" i="9"/>
  <c r="AP110" i="9"/>
  <c r="AQ109" i="9"/>
  <c r="AP109" i="9"/>
  <c r="AQ108" i="9"/>
  <c r="AP108" i="9"/>
  <c r="AQ107" i="9"/>
  <c r="AP107" i="9"/>
  <c r="AQ106" i="9"/>
  <c r="AP106" i="9"/>
  <c r="AQ105" i="9"/>
  <c r="AP105" i="9"/>
  <c r="AQ104" i="9"/>
  <c r="AP104" i="9"/>
  <c r="AQ102" i="9"/>
  <c r="AP102" i="9"/>
  <c r="AQ100" i="9"/>
  <c r="AP100" i="9"/>
  <c r="AQ99" i="9"/>
  <c r="AP99" i="9"/>
  <c r="AQ98" i="9"/>
  <c r="AP98" i="9"/>
  <c r="AQ97" i="9"/>
  <c r="AP97" i="9"/>
  <c r="AQ95" i="9"/>
  <c r="AP95" i="9"/>
  <c r="AQ94" i="9"/>
  <c r="AP94" i="9"/>
  <c r="AQ93" i="9"/>
  <c r="AP93" i="9"/>
  <c r="AQ92" i="9"/>
  <c r="AP92" i="9"/>
  <c r="AQ91" i="9"/>
  <c r="AP91" i="9"/>
  <c r="AQ90" i="9"/>
  <c r="AP90" i="9"/>
  <c r="AQ87" i="9"/>
  <c r="AP87" i="9"/>
  <c r="AQ86" i="9"/>
  <c r="AP86" i="9"/>
  <c r="AQ85" i="9"/>
  <c r="AP85" i="9"/>
  <c r="AQ84" i="9"/>
  <c r="AP84" i="9"/>
  <c r="AQ83" i="9"/>
  <c r="AP83" i="9"/>
  <c r="AQ82" i="9"/>
  <c r="AP82" i="9"/>
  <c r="AQ52" i="9"/>
  <c r="AP52" i="9"/>
  <c r="AQ50" i="9"/>
  <c r="AP50" i="9"/>
  <c r="AQ49" i="9"/>
  <c r="AP49" i="9"/>
  <c r="AQ48" i="9"/>
  <c r="AP48" i="9"/>
  <c r="AQ47" i="9"/>
  <c r="AP47" i="9"/>
  <c r="AQ44" i="9"/>
  <c r="AP44" i="9"/>
  <c r="AQ43" i="9"/>
  <c r="AP43" i="9"/>
  <c r="BD43" i="9" s="1"/>
  <c r="AQ42" i="9"/>
  <c r="AP42" i="9"/>
  <c r="AQ41" i="9"/>
  <c r="AP41" i="9"/>
  <c r="AQ40" i="9"/>
  <c r="AP40" i="9"/>
  <c r="AR40" i="9" s="1"/>
  <c r="AV40" i="9" s="1"/>
  <c r="AQ39" i="9"/>
  <c r="AP39" i="9"/>
  <c r="AQ38" i="9"/>
  <c r="AP38" i="9"/>
  <c r="AQ37" i="9"/>
  <c r="AP37" i="9"/>
  <c r="BD37" i="9" s="1"/>
  <c r="AQ36" i="9"/>
  <c r="AP36" i="9"/>
  <c r="AQ33" i="9"/>
  <c r="AP33" i="9"/>
  <c r="AQ32" i="9"/>
  <c r="AP32" i="9"/>
  <c r="AQ31" i="9"/>
  <c r="AP31" i="9"/>
  <c r="AQ30" i="9"/>
  <c r="AP30" i="9"/>
  <c r="AQ29" i="9"/>
  <c r="AP29" i="9"/>
  <c r="AQ28" i="9"/>
  <c r="AP28" i="9"/>
  <c r="AQ27" i="9"/>
  <c r="AP27" i="9"/>
  <c r="AQ26" i="9"/>
  <c r="AP26" i="9"/>
  <c r="AQ25" i="9"/>
  <c r="AP25" i="9"/>
  <c r="AQ24" i="9"/>
  <c r="AP24" i="9"/>
  <c r="AQ21" i="9"/>
  <c r="AP21" i="9"/>
  <c r="BD21" i="9" s="1"/>
  <c r="AQ20" i="9"/>
  <c r="AP20" i="9"/>
  <c r="AQ19" i="9"/>
  <c r="AP19" i="9"/>
  <c r="AQ18" i="9"/>
  <c r="AP18" i="9"/>
  <c r="AQ17" i="9"/>
  <c r="AP17" i="9"/>
  <c r="AQ16" i="9"/>
  <c r="AP16" i="9"/>
  <c r="AQ15" i="9"/>
  <c r="AP15" i="9"/>
  <c r="AQ14" i="9"/>
  <c r="AP14" i="9"/>
  <c r="AQ13" i="9"/>
  <c r="AP13" i="9"/>
  <c r="AQ12" i="9"/>
  <c r="AP12" i="9"/>
  <c r="AR12" i="9" s="1"/>
  <c r="AV12" i="9" s="1"/>
  <c r="AQ11" i="9"/>
  <c r="AP11" i="9"/>
  <c r="AQ10" i="9"/>
  <c r="AP10" i="9"/>
  <c r="AQ9" i="9"/>
  <c r="AP9" i="9"/>
  <c r="AV65" i="9"/>
  <c r="AV64" i="9"/>
  <c r="AV63" i="9"/>
  <c r="AV62" i="9"/>
  <c r="AV61" i="9"/>
  <c r="AQ8" i="9"/>
  <c r="AP8" i="9"/>
  <c r="BD173" i="9" l="1"/>
  <c r="AR116" i="9"/>
  <c r="AV116" i="9" s="1"/>
  <c r="AR182" i="9"/>
  <c r="AV182" i="9" s="1"/>
  <c r="AX17" i="9"/>
  <c r="AX47" i="9"/>
  <c r="AR101" i="9"/>
  <c r="AR172" i="9"/>
  <c r="AV172" i="9" s="1"/>
  <c r="AR93" i="9"/>
  <c r="AV93" i="9" s="1"/>
  <c r="AR51" i="9"/>
  <c r="AV51" i="9" s="1"/>
  <c r="AF7" i="20"/>
  <c r="AR34" i="9"/>
  <c r="AR85" i="9"/>
  <c r="AV85" i="9" s="1"/>
  <c r="AW85" i="9" s="1"/>
  <c r="AR217" i="9"/>
  <c r="AV217" i="9" s="1"/>
  <c r="AW217" i="9" s="1"/>
  <c r="AR117" i="9"/>
  <c r="AV117" i="9" s="1"/>
  <c r="AQ22" i="9"/>
  <c r="AR42" i="9"/>
  <c r="AV42" i="9" s="1"/>
  <c r="AR50" i="9"/>
  <c r="AV50" i="9" s="1"/>
  <c r="AR132" i="9"/>
  <c r="AV132" i="9" s="1"/>
  <c r="AR146" i="9"/>
  <c r="AV146" i="9" s="1"/>
  <c r="AR153" i="9"/>
  <c r="AV153" i="9" s="1"/>
  <c r="AR161" i="9"/>
  <c r="AV161" i="9" s="1"/>
  <c r="AR164" i="9"/>
  <c r="AV164" i="9" s="1"/>
  <c r="AX196" i="9"/>
  <c r="BD38" i="9"/>
  <c r="BD159" i="9"/>
  <c r="BD90" i="9"/>
  <c r="AR105" i="9"/>
  <c r="AV105" i="9" s="1"/>
  <c r="AR108" i="9"/>
  <c r="AV108" i="9" s="1"/>
  <c r="AX113" i="9"/>
  <c r="BD117" i="9"/>
  <c r="AX117" i="9"/>
  <c r="AR35" i="9"/>
  <c r="AV35" i="9" s="1"/>
  <c r="BD149" i="9"/>
  <c r="AX135" i="9"/>
  <c r="BH135" i="9" s="1"/>
  <c r="BD86" i="9"/>
  <c r="AR112" i="9"/>
  <c r="AV112" i="9" s="1"/>
  <c r="AR120" i="9"/>
  <c r="AV120" i="9" s="1"/>
  <c r="BD211" i="9"/>
  <c r="AX173" i="9"/>
  <c r="BH173" i="9" s="1"/>
  <c r="AX10" i="9"/>
  <c r="BD10" i="9"/>
  <c r="AR20" i="9"/>
  <c r="AV20" i="9" s="1"/>
  <c r="AW20" i="9" s="1"/>
  <c r="BD20" i="9"/>
  <c r="AX30" i="9"/>
  <c r="BD30" i="9"/>
  <c r="AX44" i="9"/>
  <c r="BD44" i="9"/>
  <c r="BH44" i="9" s="1"/>
  <c r="AX82" i="9"/>
  <c r="BD82" i="9"/>
  <c r="AX84" i="9"/>
  <c r="BD84" i="9"/>
  <c r="AX110" i="9"/>
  <c r="BD110" i="9"/>
  <c r="AX126" i="9"/>
  <c r="BD126" i="9"/>
  <c r="AX136" i="9"/>
  <c r="BD136" i="9"/>
  <c r="AX184" i="9"/>
  <c r="BD184" i="9"/>
  <c r="AX193" i="9"/>
  <c r="BD193" i="9"/>
  <c r="AX199" i="9"/>
  <c r="BD199" i="9"/>
  <c r="AX201" i="9"/>
  <c r="BD201" i="9"/>
  <c r="AX209" i="9"/>
  <c r="BD209" i="9"/>
  <c r="BD102" i="9"/>
  <c r="AR165" i="9"/>
  <c r="AV165" i="9" s="1"/>
  <c r="BD181" i="9"/>
  <c r="AX217" i="9"/>
  <c r="BD217" i="9"/>
  <c r="AX183" i="9"/>
  <c r="BH183" i="9" s="1"/>
  <c r="AR157" i="9"/>
  <c r="BD157" i="9"/>
  <c r="BH157" i="9" s="1"/>
  <c r="AX85" i="9"/>
  <c r="BD85" i="9"/>
  <c r="BD107" i="9"/>
  <c r="BD113" i="9"/>
  <c r="BD127" i="9"/>
  <c r="BD141" i="9"/>
  <c r="BD189" i="9"/>
  <c r="BD196" i="9"/>
  <c r="BD206" i="9"/>
  <c r="AX43" i="9"/>
  <c r="BH43" i="9" s="1"/>
  <c r="AX198" i="9"/>
  <c r="BH198" i="9" s="1"/>
  <c r="AX24" i="9"/>
  <c r="BD24" i="9"/>
  <c r="AX130" i="9"/>
  <c r="BD130" i="9"/>
  <c r="AX186" i="9"/>
  <c r="BD186" i="9"/>
  <c r="AX215" i="9"/>
  <c r="BD215" i="9"/>
  <c r="BD13" i="9"/>
  <c r="BD15" i="9"/>
  <c r="BD17" i="9"/>
  <c r="AX19" i="9"/>
  <c r="BD19" i="9"/>
  <c r="BD25" i="9"/>
  <c r="AX27" i="9"/>
  <c r="BD27" i="9"/>
  <c r="AX29" i="9"/>
  <c r="BD29" i="9"/>
  <c r="BD31" i="9"/>
  <c r="BD47" i="9"/>
  <c r="BH47" i="9" s="1"/>
  <c r="BD8" i="9"/>
  <c r="AX8" i="9"/>
  <c r="AX86" i="9"/>
  <c r="AX119" i="9"/>
  <c r="BD119" i="9"/>
  <c r="AR129" i="9"/>
  <c r="AS129" i="9" s="1"/>
  <c r="BC129" i="9" s="1"/>
  <c r="AR150" i="9"/>
  <c r="AV150" i="9" s="1"/>
  <c r="BD169" i="9"/>
  <c r="AX180" i="9"/>
  <c r="AP192" i="9"/>
  <c r="BD180" i="9"/>
  <c r="AR181" i="9"/>
  <c r="AV181" i="9" s="1"/>
  <c r="AR214" i="9"/>
  <c r="AV214" i="9" s="1"/>
  <c r="AX129" i="9"/>
  <c r="BH129" i="9" s="1"/>
  <c r="AX90" i="9"/>
  <c r="AR96" i="9"/>
  <c r="AV96" i="9" s="1"/>
  <c r="BD96" i="9"/>
  <c r="AR103" i="9"/>
  <c r="AV103" i="9" s="1"/>
  <c r="AR155" i="9"/>
  <c r="AV155" i="9" s="1"/>
  <c r="AR167" i="9"/>
  <c r="AV167" i="9" s="1"/>
  <c r="AR174" i="9"/>
  <c r="AR38" i="9"/>
  <c r="AX38" i="9"/>
  <c r="AX127" i="9"/>
  <c r="AX107" i="9"/>
  <c r="AR211" i="9"/>
  <c r="AX211" i="9"/>
  <c r="AX20" i="9"/>
  <c r="AR18" i="9"/>
  <c r="AV18" i="9" s="1"/>
  <c r="AR9" i="9"/>
  <c r="AV9" i="9" s="1"/>
  <c r="AX13" i="9"/>
  <c r="AX15" i="9"/>
  <c r="AR19" i="9"/>
  <c r="AR21" i="9"/>
  <c r="AX21" i="9"/>
  <c r="BH21" i="9" s="1"/>
  <c r="AX25" i="9"/>
  <c r="AX37" i="9"/>
  <c r="BH37" i="9" s="1"/>
  <c r="AR37" i="9"/>
  <c r="AX189" i="9"/>
  <c r="AX206" i="9"/>
  <c r="AS85" i="9"/>
  <c r="BC85" i="9" s="1"/>
  <c r="AX181" i="9"/>
  <c r="AR95" i="9"/>
  <c r="AV95" i="9" s="1"/>
  <c r="AR98" i="9"/>
  <c r="AV98" i="9" s="1"/>
  <c r="AR100" i="9"/>
  <c r="AV100" i="9" s="1"/>
  <c r="AR104" i="9"/>
  <c r="AV104" i="9" s="1"/>
  <c r="AR171" i="9"/>
  <c r="AV171" i="9" s="1"/>
  <c r="AR11" i="9"/>
  <c r="AV11" i="9" s="1"/>
  <c r="AR39" i="9"/>
  <c r="AV39" i="9" s="1"/>
  <c r="AR48" i="9"/>
  <c r="AV48" i="9" s="1"/>
  <c r="AR86" i="9"/>
  <c r="AR90" i="9"/>
  <c r="AR94" i="9"/>
  <c r="AV94" i="9" s="1"/>
  <c r="AR99" i="9"/>
  <c r="AV99" i="9" s="1"/>
  <c r="AR102" i="9"/>
  <c r="AV102" i="9" s="1"/>
  <c r="AR106" i="9"/>
  <c r="AV106" i="9" s="1"/>
  <c r="AR114" i="9"/>
  <c r="AV114" i="9" s="1"/>
  <c r="AR118" i="9"/>
  <c r="AV118" i="9" s="1"/>
  <c r="AR134" i="9"/>
  <c r="AV134" i="9" s="1"/>
  <c r="AR138" i="9"/>
  <c r="AV138" i="9" s="1"/>
  <c r="AR144" i="9"/>
  <c r="AV144" i="9" s="1"/>
  <c r="AR159" i="9"/>
  <c r="AV159" i="9" s="1"/>
  <c r="AR168" i="9"/>
  <c r="AR170" i="9"/>
  <c r="AV170" i="9" s="1"/>
  <c r="AR188" i="9"/>
  <c r="AV188" i="9" s="1"/>
  <c r="AX168" i="9"/>
  <c r="BH168" i="9" s="1"/>
  <c r="AX141" i="9"/>
  <c r="AR28" i="9"/>
  <c r="AV28" i="9" s="1"/>
  <c r="AR30" i="9"/>
  <c r="AR32" i="9"/>
  <c r="AV32" i="9" s="1"/>
  <c r="AR36" i="9"/>
  <c r="AV36" i="9" s="1"/>
  <c r="AR43" i="9"/>
  <c r="AR49" i="9"/>
  <c r="AV49" i="9" s="1"/>
  <c r="AR52" i="9"/>
  <c r="AV52" i="9" s="1"/>
  <c r="AR83" i="9"/>
  <c r="AV83" i="9" s="1"/>
  <c r="AR107" i="9"/>
  <c r="AR109" i="9"/>
  <c r="AV109" i="9" s="1"/>
  <c r="AR111" i="9"/>
  <c r="AV111" i="9" s="1"/>
  <c r="AR113" i="9"/>
  <c r="AR115" i="9"/>
  <c r="AV115" i="9" s="1"/>
  <c r="AR131" i="9"/>
  <c r="AV131" i="9" s="1"/>
  <c r="AR133" i="9"/>
  <c r="AV133" i="9" s="1"/>
  <c r="AR135" i="9"/>
  <c r="AR137" i="9"/>
  <c r="AV137" i="9" s="1"/>
  <c r="AR141" i="9"/>
  <c r="AV141" i="9" s="1"/>
  <c r="AR143" i="9"/>
  <c r="AV143" i="9" s="1"/>
  <c r="AR145" i="9"/>
  <c r="AV145" i="9" s="1"/>
  <c r="AR152" i="9"/>
  <c r="AV152" i="9" s="1"/>
  <c r="AR162" i="9"/>
  <c r="AV162" i="9" s="1"/>
  <c r="AR185" i="9"/>
  <c r="AV185" i="9" s="1"/>
  <c r="AR187" i="9"/>
  <c r="AV187" i="9" s="1"/>
  <c r="AR191" i="9"/>
  <c r="AR200" i="9"/>
  <c r="AV200" i="9" s="1"/>
  <c r="AX102" i="9"/>
  <c r="AX159" i="9"/>
  <c r="AR148" i="9"/>
  <c r="AX149" i="9"/>
  <c r="AX96" i="9"/>
  <c r="AX31" i="9"/>
  <c r="AR8" i="9"/>
  <c r="AR26" i="9"/>
  <c r="AV26" i="9" s="1"/>
  <c r="AR14" i="9"/>
  <c r="AV14" i="9" s="1"/>
  <c r="AR16" i="9"/>
  <c r="AV16" i="9" s="1"/>
  <c r="AR33" i="9"/>
  <c r="AV33" i="9" s="1"/>
  <c r="AR44" i="9"/>
  <c r="AR87" i="9"/>
  <c r="AV87" i="9" s="1"/>
  <c r="AR91" i="9"/>
  <c r="AV91" i="9" s="1"/>
  <c r="AR97" i="9"/>
  <c r="AV97" i="9" s="1"/>
  <c r="AR110" i="9"/>
  <c r="AR142" i="9"/>
  <c r="AV142" i="9" s="1"/>
  <c r="AR154" i="9"/>
  <c r="AV154" i="9" s="1"/>
  <c r="AR158" i="9"/>
  <c r="AV158" i="9" s="1"/>
  <c r="AR160" i="9"/>
  <c r="AV160" i="9" s="1"/>
  <c r="AR190" i="9"/>
  <c r="AV190" i="9" s="1"/>
  <c r="AR193" i="9"/>
  <c r="AR195" i="9"/>
  <c r="AV195" i="9" s="1"/>
  <c r="AR197" i="9"/>
  <c r="AV197" i="9" s="1"/>
  <c r="AR199" i="9"/>
  <c r="AR201" i="9"/>
  <c r="AR203" i="9"/>
  <c r="AV203" i="9" s="1"/>
  <c r="AR209" i="9"/>
  <c r="AR215" i="9"/>
  <c r="AR82" i="9"/>
  <c r="AR119" i="9"/>
  <c r="AR149" i="9"/>
  <c r="AV149" i="9" s="1"/>
  <c r="AR151" i="9"/>
  <c r="AV151" i="9" s="1"/>
  <c r="AR169" i="9"/>
  <c r="AV169" i="9" s="1"/>
  <c r="AR183" i="9"/>
  <c r="AR13" i="9"/>
  <c r="AR17" i="9"/>
  <c r="AR41" i="9"/>
  <c r="AV41" i="9" s="1"/>
  <c r="AR84" i="9"/>
  <c r="AR189" i="9"/>
  <c r="AR10" i="9"/>
  <c r="AR15" i="9"/>
  <c r="AR27" i="9"/>
  <c r="AR47" i="9"/>
  <c r="AR92" i="9"/>
  <c r="AV92" i="9" s="1"/>
  <c r="AR126" i="9"/>
  <c r="AR163" i="9"/>
  <c r="AV163" i="9" s="1"/>
  <c r="AR180" i="9"/>
  <c r="AR127" i="9"/>
  <c r="AR130" i="9"/>
  <c r="AR136" i="9"/>
  <c r="AR147" i="9"/>
  <c r="AV147" i="9" s="1"/>
  <c r="AR166" i="9"/>
  <c r="AV166" i="9" s="1"/>
  <c r="AR173" i="9"/>
  <c r="AV173" i="9" s="1"/>
  <c r="AR184" i="9"/>
  <c r="AR186" i="9"/>
  <c r="AR198" i="9"/>
  <c r="AR204" i="9"/>
  <c r="AV204" i="9" s="1"/>
  <c r="AR208" i="9"/>
  <c r="AV208" i="9" s="1"/>
  <c r="AR216" i="9"/>
  <c r="AV216" i="9" s="1"/>
  <c r="AV101" i="9"/>
  <c r="AV157" i="9"/>
  <c r="AR207" i="9"/>
  <c r="AV207" i="9" s="1"/>
  <c r="AR202" i="9"/>
  <c r="AV202" i="9" s="1"/>
  <c r="AR25" i="9"/>
  <c r="AR206" i="9"/>
  <c r="AR24" i="9"/>
  <c r="AR29" i="9"/>
  <c r="AR31" i="9"/>
  <c r="AV31" i="9" s="1"/>
  <c r="AR194" i="9"/>
  <c r="AV194" i="9" s="1"/>
  <c r="AR196" i="9"/>
  <c r="AR205" i="9"/>
  <c r="AV205" i="9" s="1"/>
  <c r="AR210" i="9"/>
  <c r="AV210" i="9" s="1"/>
  <c r="AR212" i="9"/>
  <c r="AV212" i="9" s="1"/>
  <c r="AV66" i="9"/>
  <c r="AP22" i="9"/>
  <c r="AP53" i="9"/>
  <c r="AP218" i="9"/>
  <c r="AP88" i="9"/>
  <c r="AP121" i="9"/>
  <c r="AP175" i="9"/>
  <c r="AQ45" i="9"/>
  <c r="AQ139" i="9"/>
  <c r="AQ53" i="9"/>
  <c r="AQ121" i="9"/>
  <c r="AP45" i="9"/>
  <c r="AP139" i="9"/>
  <c r="AQ88" i="9"/>
  <c r="AQ175" i="9"/>
  <c r="AQ192" i="9"/>
  <c r="AQ218" i="9"/>
  <c r="AL211" i="9"/>
  <c r="AL206" i="9"/>
  <c r="AL201" i="9"/>
  <c r="AN201" i="9" s="1"/>
  <c r="AL193" i="9"/>
  <c r="AN193" i="9" s="1"/>
  <c r="AL186" i="9"/>
  <c r="AL169" i="9"/>
  <c r="AL159" i="9"/>
  <c r="AM159" i="9" s="1"/>
  <c r="AL149" i="9"/>
  <c r="AL141" i="9"/>
  <c r="AN141" i="9" s="1"/>
  <c r="AL136" i="9"/>
  <c r="AN136" i="9" s="1"/>
  <c r="AL130" i="9"/>
  <c r="AN130" i="9" s="1"/>
  <c r="AL113" i="9"/>
  <c r="AM113" i="9" s="1"/>
  <c r="AL117" i="9"/>
  <c r="AN117" i="9" s="1"/>
  <c r="AL110" i="9"/>
  <c r="AN110" i="9" s="1"/>
  <c r="AL107" i="9"/>
  <c r="AN107" i="9" s="1"/>
  <c r="AL102" i="9"/>
  <c r="AN102" i="9" s="1"/>
  <c r="AL96" i="9"/>
  <c r="AL90" i="9"/>
  <c r="AL47" i="9"/>
  <c r="AN47" i="9" s="1"/>
  <c r="AN53" i="9" s="1"/>
  <c r="AL38" i="9"/>
  <c r="AN38" i="9" s="1"/>
  <c r="AL31" i="9"/>
  <c r="AN31" i="9" s="1"/>
  <c r="AL217" i="9"/>
  <c r="AL198" i="9"/>
  <c r="AN198" i="9" s="1"/>
  <c r="AL191" i="9"/>
  <c r="AN191" i="9" s="1"/>
  <c r="AL183" i="9"/>
  <c r="AN183" i="9" s="1"/>
  <c r="AL180" i="9"/>
  <c r="AL168" i="9"/>
  <c r="AN168" i="9" s="1"/>
  <c r="AL135" i="9"/>
  <c r="AN135" i="9" s="1"/>
  <c r="AL129" i="9"/>
  <c r="AN129" i="9" s="1"/>
  <c r="AL126" i="9"/>
  <c r="AL85" i="9"/>
  <c r="AM85" i="9" s="1"/>
  <c r="AL84" i="9"/>
  <c r="AN84" i="9" s="1"/>
  <c r="AL44" i="9"/>
  <c r="AN44" i="9" s="1"/>
  <c r="AL43" i="9"/>
  <c r="AL37" i="9"/>
  <c r="AN37" i="9" s="1"/>
  <c r="AL30" i="9"/>
  <c r="AN30" i="9" s="1"/>
  <c r="AL29" i="9"/>
  <c r="AN29" i="9" s="1"/>
  <c r="AL24" i="9"/>
  <c r="AL21" i="9"/>
  <c r="AM21" i="9" s="1"/>
  <c r="AL20" i="9"/>
  <c r="AN20" i="9" s="1"/>
  <c r="AL19" i="9"/>
  <c r="AN19" i="9" s="1"/>
  <c r="AL215" i="9"/>
  <c r="AL209" i="9"/>
  <c r="AM209" i="9" s="1"/>
  <c r="AL199" i="9"/>
  <c r="AN199" i="9" s="1"/>
  <c r="AL196" i="9"/>
  <c r="AN196" i="9" s="1"/>
  <c r="AL189" i="9"/>
  <c r="AL184" i="9"/>
  <c r="AM184" i="9" s="1"/>
  <c r="AL181" i="9"/>
  <c r="AN181" i="9" s="1"/>
  <c r="AL173" i="9"/>
  <c r="AN173" i="9" s="1"/>
  <c r="AL157" i="9"/>
  <c r="AL127" i="9"/>
  <c r="AM127" i="9" s="1"/>
  <c r="AL119" i="9"/>
  <c r="AN119" i="9" s="1"/>
  <c r="AL86" i="9"/>
  <c r="AL82" i="9"/>
  <c r="AL27" i="9"/>
  <c r="AN27" i="9" s="1"/>
  <c r="AL25" i="9"/>
  <c r="AM25" i="9" s="1"/>
  <c r="AL17" i="9"/>
  <c r="AL15" i="9"/>
  <c r="AN15" i="9" s="1"/>
  <c r="AL13" i="9"/>
  <c r="AN13" i="9" s="1"/>
  <c r="AL10" i="9"/>
  <c r="AM10" i="9" s="1"/>
  <c r="AL8" i="9"/>
  <c r="AN8" i="9" s="1"/>
  <c r="AV129" i="9" l="1"/>
  <c r="AW129" i="9" s="1"/>
  <c r="AS181" i="9"/>
  <c r="BH25" i="9"/>
  <c r="BH17" i="9"/>
  <c r="BH149" i="9"/>
  <c r="BH184" i="9"/>
  <c r="BH110" i="9"/>
  <c r="AY85" i="9"/>
  <c r="AZ85" i="9" s="1"/>
  <c r="BH211" i="9"/>
  <c r="AS217" i="9"/>
  <c r="BC217" i="9" s="1"/>
  <c r="BG217" i="9" s="1"/>
  <c r="BA217" i="9"/>
  <c r="BH31" i="9"/>
  <c r="BH159" i="9"/>
  <c r="BH90" i="9"/>
  <c r="BH199" i="9"/>
  <c r="BH136" i="9"/>
  <c r="BH84" i="9"/>
  <c r="AG7" i="20"/>
  <c r="AY217" i="9"/>
  <c r="AZ217" i="9" s="1"/>
  <c r="BH13" i="9"/>
  <c r="BH29" i="9"/>
  <c r="BH196" i="9"/>
  <c r="BH215" i="9"/>
  <c r="BH119" i="9"/>
  <c r="BH19" i="9"/>
  <c r="BH85" i="9"/>
  <c r="BH117" i="9"/>
  <c r="AS20" i="9"/>
  <c r="BC20" i="9" s="1"/>
  <c r="BE20" i="9" s="1"/>
  <c r="AY129" i="9"/>
  <c r="AZ129" i="9" s="1"/>
  <c r="BH38" i="9"/>
  <c r="BH24" i="9"/>
  <c r="BH8" i="9"/>
  <c r="BH186" i="9"/>
  <c r="BH113" i="9"/>
  <c r="BH30" i="9"/>
  <c r="AS10" i="9"/>
  <c r="BC10" i="9" s="1"/>
  <c r="BH15" i="9"/>
  <c r="BH86" i="9"/>
  <c r="BH209" i="9"/>
  <c r="BH193" i="9"/>
  <c r="BH126" i="9"/>
  <c r="BG129" i="9"/>
  <c r="BE129" i="9"/>
  <c r="BH127" i="9"/>
  <c r="AS169" i="9"/>
  <c r="AW181" i="9"/>
  <c r="BA181" i="9" s="1"/>
  <c r="BC181" i="9"/>
  <c r="BH141" i="9"/>
  <c r="BH181" i="9"/>
  <c r="BH102" i="9"/>
  <c r="BH96" i="9"/>
  <c r="BH180" i="9"/>
  <c r="BH27" i="9"/>
  <c r="BH201" i="9"/>
  <c r="BH82" i="9"/>
  <c r="BH10" i="9"/>
  <c r="BE85" i="9"/>
  <c r="BG85" i="9"/>
  <c r="BH130" i="9"/>
  <c r="BH206" i="9"/>
  <c r="BH189" i="9"/>
  <c r="BH107" i="9"/>
  <c r="BH217" i="9"/>
  <c r="AX218" i="9"/>
  <c r="AS17" i="9"/>
  <c r="AW17" i="9" s="1"/>
  <c r="BA17" i="9" s="1"/>
  <c r="AR22" i="9"/>
  <c r="AR53" i="9"/>
  <c r="AS13" i="9"/>
  <c r="AY20" i="9"/>
  <c r="AZ20" i="9" s="1"/>
  <c r="BH20" i="9"/>
  <c r="AM27" i="9"/>
  <c r="AV25" i="9"/>
  <c r="AS25" i="9"/>
  <c r="AV186" i="9"/>
  <c r="AS186" i="9"/>
  <c r="AV193" i="9"/>
  <c r="AS193" i="9"/>
  <c r="BC193" i="9" s="1"/>
  <c r="AS141" i="9"/>
  <c r="BC141" i="9" s="1"/>
  <c r="AV86" i="9"/>
  <c r="AS86" i="9"/>
  <c r="AM117" i="9"/>
  <c r="AM196" i="9"/>
  <c r="AM198" i="9"/>
  <c r="AR139" i="9"/>
  <c r="AV29" i="9"/>
  <c r="AW29" i="9" s="1"/>
  <c r="AS29" i="9"/>
  <c r="BC29" i="9" s="1"/>
  <c r="AV184" i="9"/>
  <c r="AS184" i="9"/>
  <c r="AV136" i="9"/>
  <c r="AS136" i="9"/>
  <c r="AV84" i="9"/>
  <c r="AW84" i="9" s="1"/>
  <c r="AS84" i="9"/>
  <c r="BC84" i="9" s="1"/>
  <c r="AV183" i="9"/>
  <c r="AW183" i="9" s="1"/>
  <c r="AS183" i="9"/>
  <c r="BC183" i="9" s="1"/>
  <c r="AV209" i="9"/>
  <c r="AS209" i="9"/>
  <c r="AV199" i="9"/>
  <c r="AS199" i="9"/>
  <c r="AS96" i="9"/>
  <c r="AV30" i="9"/>
  <c r="AW30" i="9" s="1"/>
  <c r="AS30" i="9"/>
  <c r="BC30" i="9" s="1"/>
  <c r="BA129" i="9"/>
  <c r="AV19" i="9"/>
  <c r="AW19" i="9" s="1"/>
  <c r="BA19" i="9" s="1"/>
  <c r="AS19" i="9"/>
  <c r="BC19" i="9" s="1"/>
  <c r="AS117" i="9"/>
  <c r="AV38" i="9"/>
  <c r="AS38" i="9"/>
  <c r="AN184" i="9"/>
  <c r="AV215" i="9"/>
  <c r="AS215" i="9"/>
  <c r="AV168" i="9"/>
  <c r="AW168" i="9" s="1"/>
  <c r="AS168" i="9"/>
  <c r="BC168" i="9" s="1"/>
  <c r="BA85" i="9"/>
  <c r="AN127" i="9"/>
  <c r="AM19" i="9"/>
  <c r="AM130" i="9"/>
  <c r="AR121" i="9"/>
  <c r="AV196" i="9"/>
  <c r="AS196" i="9"/>
  <c r="AV24" i="9"/>
  <c r="AW24" i="9" s="1"/>
  <c r="AS24" i="9"/>
  <c r="BC24" i="9" s="1"/>
  <c r="AV130" i="9"/>
  <c r="AS130" i="9"/>
  <c r="AV126" i="9"/>
  <c r="AW126" i="9" s="1"/>
  <c r="AS126" i="9"/>
  <c r="BC126" i="9" s="1"/>
  <c r="AV27" i="9"/>
  <c r="AS27" i="9"/>
  <c r="AV119" i="9"/>
  <c r="AS119" i="9"/>
  <c r="AV110" i="9"/>
  <c r="AS110" i="9"/>
  <c r="AV44" i="9"/>
  <c r="AW44" i="9" s="1"/>
  <c r="AS44" i="9"/>
  <c r="BC44" i="9" s="1"/>
  <c r="AS159" i="9"/>
  <c r="AV191" i="9"/>
  <c r="AW191" i="9" s="1"/>
  <c r="AS191" i="9"/>
  <c r="BC191" i="9" s="1"/>
  <c r="AV107" i="9"/>
  <c r="AS107" i="9"/>
  <c r="AV43" i="9"/>
  <c r="AW43" i="9" s="1"/>
  <c r="AS43" i="9"/>
  <c r="BC43" i="9" s="1"/>
  <c r="AN85" i="9"/>
  <c r="AM201" i="9"/>
  <c r="AV180" i="9"/>
  <c r="AW180" i="9" s="1"/>
  <c r="AS180" i="9"/>
  <c r="AV47" i="9"/>
  <c r="AV53" i="9" s="1"/>
  <c r="AS47" i="9"/>
  <c r="BC47" i="9" s="1"/>
  <c r="AL53" i="9"/>
  <c r="AM173" i="9"/>
  <c r="AM29" i="9"/>
  <c r="AM141" i="9"/>
  <c r="AR88" i="9"/>
  <c r="AV206" i="9"/>
  <c r="AS206" i="9"/>
  <c r="AV198" i="9"/>
  <c r="AW198" i="9" s="1"/>
  <c r="AS198" i="9"/>
  <c r="BC198" i="9" s="1"/>
  <c r="AV127" i="9"/>
  <c r="AS127" i="9"/>
  <c r="AS15" i="9"/>
  <c r="AV189" i="9"/>
  <c r="AS189" i="9"/>
  <c r="AV82" i="9"/>
  <c r="AS82" i="9"/>
  <c r="BC82" i="9" s="1"/>
  <c r="AV201" i="9"/>
  <c r="AS201" i="9"/>
  <c r="AS8" i="9"/>
  <c r="AS102" i="9"/>
  <c r="AS149" i="9"/>
  <c r="AV135" i="9"/>
  <c r="AW135" i="9" s="1"/>
  <c r="AS135" i="9"/>
  <c r="BC135" i="9" s="1"/>
  <c r="AV113" i="9"/>
  <c r="AS113" i="9"/>
  <c r="AS157" i="9"/>
  <c r="AV90" i="9"/>
  <c r="AS90" i="9"/>
  <c r="BC90" i="9" s="1"/>
  <c r="AV37" i="9"/>
  <c r="AW37" i="9" s="1"/>
  <c r="AS37" i="9"/>
  <c r="BC37" i="9" s="1"/>
  <c r="AV21" i="9"/>
  <c r="AW21" i="9" s="1"/>
  <c r="AY21" i="9" s="1"/>
  <c r="AS21" i="9"/>
  <c r="BC21" i="9" s="1"/>
  <c r="AV211" i="9"/>
  <c r="AS211" i="9"/>
  <c r="AV174" i="9"/>
  <c r="AS173" i="9"/>
  <c r="AV34" i="9"/>
  <c r="AS31" i="9"/>
  <c r="AM38" i="9"/>
  <c r="AM13" i="9"/>
  <c r="AN10" i="9"/>
  <c r="AM37" i="9"/>
  <c r="AQ122" i="9"/>
  <c r="AN25" i="9"/>
  <c r="AN209" i="9"/>
  <c r="AM193" i="9"/>
  <c r="AN21" i="9"/>
  <c r="AM183" i="9"/>
  <c r="AM47" i="9"/>
  <c r="AM53" i="9" s="1"/>
  <c r="AN113" i="9"/>
  <c r="AN159" i="9"/>
  <c r="AR175" i="9"/>
  <c r="AV8" i="9"/>
  <c r="AV15" i="9"/>
  <c r="AV13" i="9"/>
  <c r="AV17" i="9"/>
  <c r="BA20" i="9"/>
  <c r="AM168" i="9"/>
  <c r="AR218" i="9"/>
  <c r="AL88" i="9"/>
  <c r="AM107" i="9"/>
  <c r="AM31" i="9"/>
  <c r="AR45" i="9"/>
  <c r="AR192" i="9"/>
  <c r="AV10" i="9"/>
  <c r="AQ176" i="9"/>
  <c r="AP54" i="9"/>
  <c r="AN157" i="9"/>
  <c r="AM157" i="9"/>
  <c r="AN189" i="9"/>
  <c r="AM189" i="9"/>
  <c r="AN215" i="9"/>
  <c r="AM215" i="9"/>
  <c r="AL45" i="9"/>
  <c r="AN24" i="9"/>
  <c r="AM24" i="9"/>
  <c r="AN43" i="9"/>
  <c r="AM43" i="9"/>
  <c r="AL139" i="9"/>
  <c r="AN126" i="9"/>
  <c r="AM126" i="9"/>
  <c r="AL192" i="9"/>
  <c r="AN180" i="9"/>
  <c r="AM180" i="9"/>
  <c r="AN217" i="9"/>
  <c r="AM217" i="9"/>
  <c r="AL121" i="9"/>
  <c r="AN90" i="9"/>
  <c r="AN169" i="9"/>
  <c r="AM169" i="9"/>
  <c r="AN206" i="9"/>
  <c r="AM206" i="9"/>
  <c r="AM15" i="9"/>
  <c r="AM136" i="9"/>
  <c r="AN17" i="9"/>
  <c r="AM17" i="9"/>
  <c r="AN86" i="9"/>
  <c r="AM86" i="9"/>
  <c r="AN96" i="9"/>
  <c r="AM96" i="9"/>
  <c r="AN186" i="9"/>
  <c r="AM186" i="9"/>
  <c r="AN211" i="9"/>
  <c r="AM211" i="9"/>
  <c r="AM8" i="9"/>
  <c r="AM82" i="9"/>
  <c r="AM110" i="9"/>
  <c r="AM129" i="9"/>
  <c r="AM90" i="9"/>
  <c r="AN82" i="9"/>
  <c r="AM44" i="9"/>
  <c r="AL22" i="9"/>
  <c r="AL175" i="9"/>
  <c r="AL218" i="9"/>
  <c r="AM119" i="9"/>
  <c r="AM181" i="9"/>
  <c r="AM199" i="9"/>
  <c r="AM20" i="9"/>
  <c r="AM30" i="9"/>
  <c r="AM84" i="9"/>
  <c r="AM135" i="9"/>
  <c r="AM191" i="9"/>
  <c r="AM102" i="9"/>
  <c r="AM149" i="9"/>
  <c r="AP219" i="9"/>
  <c r="AN149" i="9"/>
  <c r="AP176" i="9"/>
  <c r="AQ54" i="9"/>
  <c r="AX22" i="9"/>
  <c r="AQ219" i="9"/>
  <c r="AP122" i="9"/>
  <c r="AX88" i="9"/>
  <c r="AJ128" i="9"/>
  <c r="BI85" i="9" l="1"/>
  <c r="BG20" i="9"/>
  <c r="BE217" i="9"/>
  <c r="BI217" i="9" s="1"/>
  <c r="AR122" i="9"/>
  <c r="BI129" i="9"/>
  <c r="AI7" i="20"/>
  <c r="AJ7" i="20" s="1"/>
  <c r="AK7" i="20" s="1"/>
  <c r="AR219" i="9"/>
  <c r="AW10" i="9"/>
  <c r="AY10" i="9" s="1"/>
  <c r="AY181" i="9"/>
  <c r="AZ181" i="9" s="1"/>
  <c r="AR176" i="9"/>
  <c r="AV121" i="9"/>
  <c r="AT121" i="9" s="1"/>
  <c r="AL122" i="9"/>
  <c r="AW215" i="9"/>
  <c r="BC215" i="9"/>
  <c r="AW113" i="9"/>
  <c r="AY113" i="9" s="1"/>
  <c r="AZ113" i="9" s="1"/>
  <c r="BC113" i="9"/>
  <c r="BG198" i="9"/>
  <c r="BE198" i="9"/>
  <c r="BE191" i="9"/>
  <c r="BG191" i="9"/>
  <c r="AW199" i="9"/>
  <c r="BA199" i="9" s="1"/>
  <c r="BC199" i="9"/>
  <c r="AW136" i="9"/>
  <c r="BC136" i="9"/>
  <c r="AN22" i="9"/>
  <c r="BG135" i="9"/>
  <c r="BE135" i="9"/>
  <c r="AW127" i="9"/>
  <c r="BC127" i="9"/>
  <c r="AW206" i="9"/>
  <c r="AY206" i="9" s="1"/>
  <c r="BC206" i="9"/>
  <c r="AT53" i="9"/>
  <c r="AW107" i="9"/>
  <c r="BA107" i="9" s="1"/>
  <c r="BC107" i="9"/>
  <c r="AW159" i="9"/>
  <c r="BA159" i="9" s="1"/>
  <c r="BC159" i="9"/>
  <c r="AW196" i="9"/>
  <c r="BA196" i="9" s="1"/>
  <c r="BC196" i="9"/>
  <c r="AW209" i="9"/>
  <c r="BC209" i="9"/>
  <c r="BG84" i="9"/>
  <c r="BE84" i="9"/>
  <c r="AW184" i="9"/>
  <c r="BC184" i="9"/>
  <c r="AW86" i="9"/>
  <c r="BA86" i="9" s="1"/>
  <c r="BC86" i="9"/>
  <c r="BG181" i="9"/>
  <c r="BE181" i="9"/>
  <c r="BC169" i="9"/>
  <c r="AW169" i="9"/>
  <c r="AW157" i="9"/>
  <c r="AY157" i="9" s="1"/>
  <c r="BC157" i="9"/>
  <c r="AW189" i="9"/>
  <c r="BA189" i="9" s="1"/>
  <c r="BC189" i="9"/>
  <c r="AS192" i="9"/>
  <c r="BC180" i="9"/>
  <c r="AW119" i="9"/>
  <c r="BA119" i="9" s="1"/>
  <c r="BC119" i="9"/>
  <c r="AW96" i="9"/>
  <c r="AY96" i="9" s="1"/>
  <c r="AZ96" i="9" s="1"/>
  <c r="BC96" i="9"/>
  <c r="AW211" i="9"/>
  <c r="BA211" i="9" s="1"/>
  <c r="BC211" i="9"/>
  <c r="AW201" i="9"/>
  <c r="BA201" i="9" s="1"/>
  <c r="BC201" i="9"/>
  <c r="BG126" i="9"/>
  <c r="BE126" i="9"/>
  <c r="AW186" i="9"/>
  <c r="AY186" i="9" s="1"/>
  <c r="AZ186" i="9" s="1"/>
  <c r="BC186" i="9"/>
  <c r="AW149" i="9"/>
  <c r="BC149" i="9"/>
  <c r="AV192" i="9"/>
  <c r="AT192" i="9" s="1"/>
  <c r="AW117" i="9"/>
  <c r="BA117" i="9" s="1"/>
  <c r="BC117" i="9"/>
  <c r="BG183" i="9"/>
  <c r="BE183" i="9"/>
  <c r="BE141" i="9"/>
  <c r="BC17" i="9"/>
  <c r="BG17" i="9" s="1"/>
  <c r="AN121" i="9"/>
  <c r="AN139" i="9"/>
  <c r="AW173" i="9"/>
  <c r="BA173" i="9" s="1"/>
  <c r="BC173" i="9"/>
  <c r="BE90" i="9"/>
  <c r="AW102" i="9"/>
  <c r="BC102" i="9"/>
  <c r="BE82" i="9"/>
  <c r="AW110" i="9"/>
  <c r="BA110" i="9" s="1"/>
  <c r="BC110" i="9"/>
  <c r="AW130" i="9"/>
  <c r="BA130" i="9" s="1"/>
  <c r="BC130" i="9"/>
  <c r="BG168" i="9"/>
  <c r="BE168" i="9"/>
  <c r="AV218" i="9"/>
  <c r="AT218" i="9" s="1"/>
  <c r="BE193" i="9"/>
  <c r="AR54" i="9"/>
  <c r="BI20" i="9"/>
  <c r="AM22" i="9"/>
  <c r="BE37" i="9"/>
  <c r="BG37" i="9"/>
  <c r="BG30" i="9"/>
  <c r="BE30" i="9"/>
  <c r="BG43" i="9"/>
  <c r="BE43" i="9"/>
  <c r="BE24" i="9"/>
  <c r="BG24" i="9"/>
  <c r="AW38" i="9"/>
  <c r="BA38" i="9" s="1"/>
  <c r="BC38" i="9"/>
  <c r="AW25" i="9"/>
  <c r="BA25" i="9" s="1"/>
  <c r="BC25" i="9"/>
  <c r="AW13" i="9"/>
  <c r="BC13" i="9"/>
  <c r="BE10" i="9"/>
  <c r="BC8" i="9"/>
  <c r="AW8" i="9"/>
  <c r="AY8" i="9" s="1"/>
  <c r="BG44" i="9"/>
  <c r="BE44" i="9"/>
  <c r="BG19" i="9"/>
  <c r="BE19" i="9"/>
  <c r="BG29" i="9"/>
  <c r="BE29" i="9"/>
  <c r="BA21" i="9"/>
  <c r="AW31" i="9"/>
  <c r="BA31" i="9" s="1"/>
  <c r="BC31" i="9"/>
  <c r="BE21" i="9"/>
  <c r="BI21" i="9" s="1"/>
  <c r="BG21" i="9"/>
  <c r="AW15" i="9"/>
  <c r="BA15" i="9" s="1"/>
  <c r="BC15" i="9"/>
  <c r="BE47" i="9"/>
  <c r="AW27" i="9"/>
  <c r="BA27" i="9" s="1"/>
  <c r="BC27" i="9"/>
  <c r="AY17" i="9"/>
  <c r="AZ17" i="9" s="1"/>
  <c r="BA168" i="9"/>
  <c r="BA29" i="9"/>
  <c r="AY29" i="9"/>
  <c r="AZ29" i="9" s="1"/>
  <c r="AW193" i="9"/>
  <c r="BG193" i="9" s="1"/>
  <c r="AS218" i="9"/>
  <c r="BA126" i="9"/>
  <c r="AY126" i="9"/>
  <c r="AZ126" i="9" s="1"/>
  <c r="BA135" i="9"/>
  <c r="AY135" i="9"/>
  <c r="AZ135" i="9" s="1"/>
  <c r="AY191" i="9"/>
  <c r="AX191" i="9"/>
  <c r="BA24" i="9"/>
  <c r="AY24" i="9"/>
  <c r="AZ24" i="9" s="1"/>
  <c r="BA30" i="9"/>
  <c r="AY30" i="9"/>
  <c r="AZ30" i="9" s="1"/>
  <c r="BA183" i="9"/>
  <c r="AY183" i="9"/>
  <c r="AZ183" i="9" s="1"/>
  <c r="BA37" i="9"/>
  <c r="AY37" i="9"/>
  <c r="AZ37" i="9" s="1"/>
  <c r="BA113" i="9"/>
  <c r="BA127" i="9"/>
  <c r="AL54" i="9"/>
  <c r="AM121" i="9"/>
  <c r="AM45" i="9"/>
  <c r="AN218" i="9"/>
  <c r="AN175" i="9"/>
  <c r="AS121" i="9"/>
  <c r="AW90" i="9"/>
  <c r="AY90" i="9" s="1"/>
  <c r="AS139" i="9"/>
  <c r="AY168" i="9"/>
  <c r="AZ168" i="9" s="1"/>
  <c r="AY84" i="9"/>
  <c r="AZ84" i="9" s="1"/>
  <c r="BA84" i="9"/>
  <c r="AS22" i="9"/>
  <c r="AV88" i="9"/>
  <c r="AT88" i="9" s="1"/>
  <c r="AY43" i="9"/>
  <c r="AZ43" i="9" s="1"/>
  <c r="BA43" i="9"/>
  <c r="AW141" i="9"/>
  <c r="BG141" i="9" s="1"/>
  <c r="AS175" i="9"/>
  <c r="AZ157" i="9"/>
  <c r="AM175" i="9"/>
  <c r="AN192" i="9"/>
  <c r="AN45" i="9"/>
  <c r="AV139" i="9"/>
  <c r="AT139" i="9" s="1"/>
  <c r="BA180" i="9"/>
  <c r="AY180" i="9"/>
  <c r="AZ180" i="9" s="1"/>
  <c r="AZ21" i="9"/>
  <c r="AS88" i="9"/>
  <c r="AW82" i="9"/>
  <c r="BA198" i="9"/>
  <c r="AY198" i="9"/>
  <c r="AZ198" i="9" s="1"/>
  <c r="AW47" i="9"/>
  <c r="AY47" i="9" s="1"/>
  <c r="AY53" i="9" s="1"/>
  <c r="AS53" i="9"/>
  <c r="BA44" i="9"/>
  <c r="AY44" i="9"/>
  <c r="AZ44" i="9" s="1"/>
  <c r="AS45" i="9"/>
  <c r="AY19" i="9"/>
  <c r="AZ19" i="9"/>
  <c r="AY159" i="9"/>
  <c r="AZ159" i="9" s="1"/>
  <c r="AV45" i="9"/>
  <c r="AT45" i="9" s="1"/>
  <c r="AM218" i="9"/>
  <c r="AL176" i="9"/>
  <c r="AX53" i="9"/>
  <c r="AX45" i="9"/>
  <c r="AV22" i="9"/>
  <c r="AT22" i="9" s="1"/>
  <c r="AN88" i="9"/>
  <c r="AX139" i="9"/>
  <c r="AL219" i="9"/>
  <c r="AP222" i="9"/>
  <c r="AQ222" i="9"/>
  <c r="AM192" i="9"/>
  <c r="AM88" i="9"/>
  <c r="AM139" i="9"/>
  <c r="AJ174" i="9"/>
  <c r="AJ172" i="9"/>
  <c r="AJ167" i="9"/>
  <c r="AJ157" i="9"/>
  <c r="AJ217" i="9"/>
  <c r="AJ216" i="9"/>
  <c r="AJ215" i="9"/>
  <c r="AJ214" i="9"/>
  <c r="AJ213" i="9"/>
  <c r="AJ212" i="9"/>
  <c r="AJ211" i="9"/>
  <c r="AJ210" i="9"/>
  <c r="AJ209" i="9"/>
  <c r="AJ208" i="9"/>
  <c r="AJ207" i="9"/>
  <c r="AJ206" i="9"/>
  <c r="AJ205" i="9"/>
  <c r="AJ204" i="9"/>
  <c r="AJ202" i="9"/>
  <c r="AJ201" i="9"/>
  <c r="AJ200" i="9"/>
  <c r="AJ199" i="9"/>
  <c r="AJ198" i="9"/>
  <c r="AJ197" i="9"/>
  <c r="AJ196" i="9"/>
  <c r="AJ195" i="9"/>
  <c r="AJ194" i="9"/>
  <c r="AJ193" i="9"/>
  <c r="AJ191" i="9"/>
  <c r="AJ190" i="9"/>
  <c r="AJ189" i="9"/>
  <c r="AJ188" i="9"/>
  <c r="AJ187" i="9"/>
  <c r="AJ186" i="9"/>
  <c r="AJ185" i="9"/>
  <c r="AJ184" i="9"/>
  <c r="AJ183" i="9"/>
  <c r="AJ182" i="9"/>
  <c r="AJ181" i="9"/>
  <c r="AJ180" i="9"/>
  <c r="AJ173" i="9"/>
  <c r="AJ171" i="9"/>
  <c r="AJ170" i="9"/>
  <c r="AJ169" i="9"/>
  <c r="AJ168" i="9"/>
  <c r="AJ166" i="9"/>
  <c r="AJ165" i="9"/>
  <c r="AJ164" i="9"/>
  <c r="AJ163" i="9"/>
  <c r="AJ162" i="9"/>
  <c r="AJ161" i="9"/>
  <c r="AJ160" i="9"/>
  <c r="AJ159" i="9"/>
  <c r="AJ158" i="9"/>
  <c r="AJ156" i="9"/>
  <c r="AJ155" i="9"/>
  <c r="AJ154" i="9"/>
  <c r="AJ153" i="9"/>
  <c r="AJ152" i="9"/>
  <c r="AJ151" i="9"/>
  <c r="AJ150" i="9"/>
  <c r="AJ149" i="9"/>
  <c r="AJ148" i="9"/>
  <c r="AJ147" i="9"/>
  <c r="AJ146" i="9"/>
  <c r="AJ145" i="9"/>
  <c r="AJ144" i="9"/>
  <c r="AJ143" i="9"/>
  <c r="AJ142" i="9"/>
  <c r="AJ141" i="9"/>
  <c r="AJ138" i="9"/>
  <c r="AJ137" i="9"/>
  <c r="AJ136" i="9"/>
  <c r="AJ135" i="9"/>
  <c r="AJ134" i="9"/>
  <c r="AJ133" i="9"/>
  <c r="AJ132" i="9"/>
  <c r="AJ131" i="9"/>
  <c r="AJ130" i="9"/>
  <c r="AJ129" i="9"/>
  <c r="AJ127" i="9"/>
  <c r="AJ126" i="9"/>
  <c r="AJ120" i="9"/>
  <c r="AJ119" i="9"/>
  <c r="AJ118" i="9"/>
  <c r="AJ117" i="9"/>
  <c r="AJ116" i="9"/>
  <c r="AJ115" i="9"/>
  <c r="AJ114" i="9"/>
  <c r="AJ113" i="9"/>
  <c r="AJ112" i="9"/>
  <c r="AJ111" i="9"/>
  <c r="AJ110" i="9"/>
  <c r="AJ109" i="9"/>
  <c r="AJ108" i="9"/>
  <c r="AJ107" i="9"/>
  <c r="AJ106" i="9"/>
  <c r="AJ105" i="9"/>
  <c r="AJ104" i="9"/>
  <c r="AJ103" i="9"/>
  <c r="AJ102" i="9"/>
  <c r="AJ101" i="9"/>
  <c r="AJ100" i="9"/>
  <c r="AJ99" i="9"/>
  <c r="AJ98" i="9"/>
  <c r="AJ97" i="9"/>
  <c r="AJ96" i="9"/>
  <c r="AJ95" i="9"/>
  <c r="AJ94" i="9"/>
  <c r="AJ93" i="9"/>
  <c r="AJ92" i="9"/>
  <c r="AJ91" i="9"/>
  <c r="AJ90" i="9"/>
  <c r="AJ87" i="9"/>
  <c r="AJ86" i="9"/>
  <c r="AJ85" i="9"/>
  <c r="AJ84" i="9"/>
  <c r="AJ83" i="9"/>
  <c r="AJ82" i="9"/>
  <c r="AJ52" i="9"/>
  <c r="AJ51" i="9"/>
  <c r="AJ50" i="9"/>
  <c r="AJ49" i="9"/>
  <c r="AJ48" i="9"/>
  <c r="AJ47" i="9"/>
  <c r="AJ44" i="9"/>
  <c r="AJ43" i="9"/>
  <c r="AJ42" i="9"/>
  <c r="AJ41" i="9"/>
  <c r="AJ40" i="9"/>
  <c r="AJ39" i="9"/>
  <c r="AJ38" i="9"/>
  <c r="AJ37" i="9"/>
  <c r="AJ36" i="9"/>
  <c r="AJ35" i="9"/>
  <c r="AJ34" i="9"/>
  <c r="AJ33" i="9"/>
  <c r="AJ32" i="9"/>
  <c r="AJ31" i="9"/>
  <c r="AJ30" i="9"/>
  <c r="AJ29" i="9"/>
  <c r="AJ28" i="9"/>
  <c r="AJ27" i="9"/>
  <c r="AJ26" i="9"/>
  <c r="AJ25" i="9"/>
  <c r="AJ24" i="9"/>
  <c r="AJ21" i="9"/>
  <c r="AJ20" i="9"/>
  <c r="AJ19" i="9"/>
  <c r="AJ18" i="9"/>
  <c r="AJ17" i="9"/>
  <c r="AJ16" i="9"/>
  <c r="AJ15" i="9"/>
  <c r="AJ14" i="9"/>
  <c r="AJ13" i="9"/>
  <c r="AJ12" i="9"/>
  <c r="AJ11" i="9"/>
  <c r="AJ10" i="9"/>
  <c r="AJ9" i="9"/>
  <c r="AJ8" i="9"/>
  <c r="AK218" i="9"/>
  <c r="AI218" i="9"/>
  <c r="AI219" i="9" s="1"/>
  <c r="AA218" i="9"/>
  <c r="AA219" i="9" s="1"/>
  <c r="Y218" i="9"/>
  <c r="Y219" i="9" s="1"/>
  <c r="P218" i="9"/>
  <c r="P219" i="9" s="1"/>
  <c r="N218" i="9"/>
  <c r="F218" i="9"/>
  <c r="AK192" i="9"/>
  <c r="N192" i="9"/>
  <c r="F192" i="9"/>
  <c r="AK175" i="9"/>
  <c r="AI175" i="9"/>
  <c r="AI176" i="9" s="1"/>
  <c r="AA175" i="9"/>
  <c r="AA176" i="9" s="1"/>
  <c r="Y175" i="9"/>
  <c r="Y176" i="9" s="1"/>
  <c r="P175" i="9"/>
  <c r="P176" i="9" s="1"/>
  <c r="N175" i="9"/>
  <c r="F175" i="9"/>
  <c r="AK139" i="9"/>
  <c r="N139" i="9"/>
  <c r="F139" i="9"/>
  <c r="AI121" i="9"/>
  <c r="AI122" i="9" s="1"/>
  <c r="AA121" i="9"/>
  <c r="AA122" i="9" s="1"/>
  <c r="AK121" i="9"/>
  <c r="Y121" i="9"/>
  <c r="Y122" i="9" s="1"/>
  <c r="P121" i="9"/>
  <c r="P122" i="9" s="1"/>
  <c r="N121" i="9"/>
  <c r="F121" i="9"/>
  <c r="AK88" i="9"/>
  <c r="N88" i="9"/>
  <c r="F88" i="9"/>
  <c r="BA157" i="9" l="1"/>
  <c r="BI10" i="9"/>
  <c r="AZ10" i="9"/>
  <c r="AW88" i="9"/>
  <c r="BA10" i="9"/>
  <c r="BG10" i="9"/>
  <c r="AY130" i="9"/>
  <c r="AZ130" i="9" s="1"/>
  <c r="AY107" i="9"/>
  <c r="AZ107" i="9" s="1"/>
  <c r="BI181" i="9"/>
  <c r="AY86" i="9"/>
  <c r="AZ86" i="9" s="1"/>
  <c r="AR222" i="9"/>
  <c r="AW192" i="9"/>
  <c r="AU192" i="9" s="1"/>
  <c r="BD192" i="9" s="1"/>
  <c r="AY119" i="9"/>
  <c r="AZ119" i="9" s="1"/>
  <c r="AY211" i="9"/>
  <c r="AZ211" i="9" s="1"/>
  <c r="AY173" i="9"/>
  <c r="AZ173" i="9" s="1"/>
  <c r="AY31" i="9"/>
  <c r="AZ31" i="9" s="1"/>
  <c r="BI126" i="9"/>
  <c r="BI84" i="9"/>
  <c r="BA186" i="9"/>
  <c r="AW139" i="9"/>
  <c r="AU139" i="9" s="1"/>
  <c r="BD139" i="9" s="1"/>
  <c r="AN54" i="9"/>
  <c r="AN176" i="9"/>
  <c r="BA47" i="9"/>
  <c r="AN219" i="9"/>
  <c r="AN122" i="9"/>
  <c r="AW121" i="9"/>
  <c r="AY199" i="9"/>
  <c r="AZ199" i="9" s="1"/>
  <c r="AM122" i="9"/>
  <c r="AW218" i="9"/>
  <c r="AV219" i="9"/>
  <c r="AT219" i="9" s="1"/>
  <c r="BA90" i="9"/>
  <c r="BA96" i="9"/>
  <c r="AY201" i="9"/>
  <c r="AZ201" i="9" s="1"/>
  <c r="AY25" i="9"/>
  <c r="AZ25" i="9" s="1"/>
  <c r="AY117" i="9"/>
  <c r="AZ117" i="9" s="1"/>
  <c r="AZ90" i="9"/>
  <c r="AW53" i="9"/>
  <c r="AU53" i="9" s="1"/>
  <c r="BD53" i="9" s="1"/>
  <c r="BH53" i="9" s="1"/>
  <c r="AY38" i="9"/>
  <c r="AZ38" i="9" s="1"/>
  <c r="AY189" i="9"/>
  <c r="AZ189" i="9" s="1"/>
  <c r="AZ206" i="9"/>
  <c r="BE17" i="9"/>
  <c r="BI17" i="9" s="1"/>
  <c r="BI168" i="9"/>
  <c r="BG110" i="9"/>
  <c r="BE110" i="9"/>
  <c r="BE102" i="9"/>
  <c r="BG102" i="9"/>
  <c r="BG173" i="9"/>
  <c r="BE173" i="9"/>
  <c r="BI173" i="9" s="1"/>
  <c r="BG211" i="9"/>
  <c r="BE211" i="9"/>
  <c r="BE119" i="9"/>
  <c r="BG119" i="9"/>
  <c r="BG189" i="9"/>
  <c r="BE189" i="9"/>
  <c r="AX169" i="9"/>
  <c r="BH169" i="9" s="1"/>
  <c r="AY169" i="9"/>
  <c r="BA169" i="9"/>
  <c r="BG86" i="9"/>
  <c r="BE86" i="9"/>
  <c r="BG196" i="9"/>
  <c r="BE196" i="9"/>
  <c r="BG107" i="9"/>
  <c r="BE107" i="9"/>
  <c r="BG136" i="9"/>
  <c r="BE136" i="9"/>
  <c r="BG113" i="9"/>
  <c r="BE113" i="9"/>
  <c r="BI113" i="9" s="1"/>
  <c r="AM176" i="9"/>
  <c r="BA206" i="9"/>
  <c r="AY110" i="9"/>
  <c r="AZ110" i="9" s="1"/>
  <c r="BA102" i="9"/>
  <c r="AY102" i="9"/>
  <c r="AZ102" i="9" s="1"/>
  <c r="BE117" i="9"/>
  <c r="BG117" i="9"/>
  <c r="BA149" i="9"/>
  <c r="AY149" i="9"/>
  <c r="AZ149" i="9" s="1"/>
  <c r="BG169" i="9"/>
  <c r="BE169" i="9"/>
  <c r="AY196" i="9"/>
  <c r="AZ196" i="9" s="1"/>
  <c r="BG127" i="9"/>
  <c r="BE127" i="9"/>
  <c r="AY136" i="9"/>
  <c r="AZ136" i="9" s="1"/>
  <c r="BA136" i="9"/>
  <c r="BI191" i="9"/>
  <c r="AS176" i="9"/>
  <c r="AS122" i="9"/>
  <c r="BI19" i="9"/>
  <c r="AM54" i="9"/>
  <c r="BG130" i="9"/>
  <c r="BE130" i="9"/>
  <c r="BI90" i="9"/>
  <c r="BG186" i="9"/>
  <c r="BE186" i="9"/>
  <c r="BI186" i="9" s="1"/>
  <c r="BG201" i="9"/>
  <c r="BE201" i="9"/>
  <c r="BG96" i="9"/>
  <c r="BE96" i="9"/>
  <c r="BI96" i="9" s="1"/>
  <c r="BG180" i="9"/>
  <c r="BE180" i="9"/>
  <c r="BI180" i="9" s="1"/>
  <c r="BG157" i="9"/>
  <c r="BE157" i="9"/>
  <c r="BI157" i="9" s="1"/>
  <c r="BG184" i="9"/>
  <c r="BE184" i="9"/>
  <c r="BG209" i="9"/>
  <c r="BE209" i="9"/>
  <c r="BG159" i="9"/>
  <c r="BE159" i="9"/>
  <c r="BI159" i="9" s="1"/>
  <c r="AY127" i="9"/>
  <c r="AZ127" i="9" s="1"/>
  <c r="BG199" i="9"/>
  <c r="BE199" i="9"/>
  <c r="BI198" i="9"/>
  <c r="BG215" i="9"/>
  <c r="BE215" i="9"/>
  <c r="BH191" i="9"/>
  <c r="AX192" i="9"/>
  <c r="AX219" i="9" s="1"/>
  <c r="AS219" i="9"/>
  <c r="BG149" i="9"/>
  <c r="BE149" i="9"/>
  <c r="AM219" i="9"/>
  <c r="BG82" i="9"/>
  <c r="BG90" i="9"/>
  <c r="BI183" i="9"/>
  <c r="AY184" i="9"/>
  <c r="AZ184" i="9" s="1"/>
  <c r="BA184" i="9"/>
  <c r="AY209" i="9"/>
  <c r="AZ209" i="9" s="1"/>
  <c r="BA209" i="9"/>
  <c r="BE206" i="9"/>
  <c r="BI206" i="9" s="1"/>
  <c r="BG206" i="9"/>
  <c r="BI135" i="9"/>
  <c r="AY215" i="9"/>
  <c r="AZ215" i="9" s="1"/>
  <c r="BA215" i="9"/>
  <c r="AY15" i="9"/>
  <c r="AZ15" i="9" s="1"/>
  <c r="AW45" i="9"/>
  <c r="AU45" i="9" s="1"/>
  <c r="BD45" i="9" s="1"/>
  <c r="BH45" i="9" s="1"/>
  <c r="BI24" i="9"/>
  <c r="BI47" i="9"/>
  <c r="BE25" i="9"/>
  <c r="BG25" i="9"/>
  <c r="BG8" i="9"/>
  <c r="BE8" i="9"/>
  <c r="BI8" i="9" s="1"/>
  <c r="BG47" i="9"/>
  <c r="BI29" i="9"/>
  <c r="BI44" i="9"/>
  <c r="BG38" i="9"/>
  <c r="BE38" i="9"/>
  <c r="BI43" i="9"/>
  <c r="BG13" i="9"/>
  <c r="BE13" i="9"/>
  <c r="BI30" i="9"/>
  <c r="AY27" i="9"/>
  <c r="AZ27" i="9" s="1"/>
  <c r="AY13" i="9"/>
  <c r="AZ13" i="9" s="1"/>
  <c r="BA13" i="9"/>
  <c r="AL222" i="9"/>
  <c r="BG27" i="9"/>
  <c r="BE27" i="9"/>
  <c r="BE15" i="9"/>
  <c r="BG15" i="9"/>
  <c r="BE31" i="9"/>
  <c r="BG31" i="9"/>
  <c r="BI37" i="9"/>
  <c r="AS54" i="9"/>
  <c r="AY82" i="9"/>
  <c r="AY88" i="9" s="1"/>
  <c r="AU88" i="9"/>
  <c r="BD88" i="9" s="1"/>
  <c r="BH88" i="9" s="1"/>
  <c r="BA82" i="9"/>
  <c r="AV122" i="9"/>
  <c r="AT122" i="9" s="1"/>
  <c r="AY193" i="9"/>
  <c r="BI193" i="9" s="1"/>
  <c r="BA193" i="9"/>
  <c r="BA8" i="9"/>
  <c r="AV54" i="9"/>
  <c r="AT54" i="9" s="1"/>
  <c r="AX54" i="9"/>
  <c r="AJ192" i="9"/>
  <c r="AX121" i="9"/>
  <c r="AX122" i="9" s="1"/>
  <c r="AZ47" i="9"/>
  <c r="F219" i="9"/>
  <c r="AJ218" i="9"/>
  <c r="AJ88" i="9"/>
  <c r="AJ121" i="9"/>
  <c r="AJ139" i="9"/>
  <c r="AJ175" i="9"/>
  <c r="F176" i="9"/>
  <c r="AK219" i="9"/>
  <c r="N219" i="9"/>
  <c r="AJ53" i="9"/>
  <c r="AJ45" i="9"/>
  <c r="AJ22" i="9"/>
  <c r="AK176" i="9"/>
  <c r="N176" i="9"/>
  <c r="F122" i="9"/>
  <c r="AK122" i="9"/>
  <c r="N122" i="9"/>
  <c r="AI53" i="9"/>
  <c r="AA53" i="9"/>
  <c r="F53" i="9"/>
  <c r="P45" i="9"/>
  <c r="P54" i="9" s="1"/>
  <c r="P222" i="9" s="1"/>
  <c r="AA45" i="9"/>
  <c r="F22" i="9"/>
  <c r="F45" i="9"/>
  <c r="BI149" i="9" l="1"/>
  <c r="BI107" i="9"/>
  <c r="AW122" i="9"/>
  <c r="AU122" i="9" s="1"/>
  <c r="BD122" i="9" s="1"/>
  <c r="BH122" i="9" s="1"/>
  <c r="BI31" i="9"/>
  <c r="AW219" i="9"/>
  <c r="AU219" i="9" s="1"/>
  <c r="BI130" i="9"/>
  <c r="AU218" i="9"/>
  <c r="BD218" i="9" s="1"/>
  <c r="BH218" i="9" s="1"/>
  <c r="BI117" i="9"/>
  <c r="BI199" i="9"/>
  <c r="BI201" i="9"/>
  <c r="BI86" i="9"/>
  <c r="BI215" i="9"/>
  <c r="BI119" i="9"/>
  <c r="AN7" i="20"/>
  <c r="AN9" i="20" s="1"/>
  <c r="AN10" i="20" s="1"/>
  <c r="AJ219" i="9"/>
  <c r="BI25" i="9"/>
  <c r="BI211" i="9"/>
  <c r="AN222" i="9"/>
  <c r="AM222" i="9"/>
  <c r="AY45" i="9"/>
  <c r="AU121" i="9"/>
  <c r="BD121" i="9" s="1"/>
  <c r="BH121" i="9" s="1"/>
  <c r="BI38" i="9"/>
  <c r="BC192" i="9"/>
  <c r="BG192" i="9" s="1"/>
  <c r="AY192" i="9"/>
  <c r="AZ82" i="9"/>
  <c r="BI127" i="9"/>
  <c r="AY22" i="9"/>
  <c r="BI82" i="9"/>
  <c r="BI15" i="9"/>
  <c r="BC218" i="9"/>
  <c r="BG218" i="9" s="1"/>
  <c r="BI110" i="9"/>
  <c r="BI209" i="9"/>
  <c r="BI189" i="9"/>
  <c r="BC88" i="9"/>
  <c r="BI169" i="9"/>
  <c r="AY121" i="9"/>
  <c r="AY122" i="9" s="1"/>
  <c r="BH139" i="9"/>
  <c r="AY139" i="9"/>
  <c r="AY218" i="9"/>
  <c r="AJ122" i="9"/>
  <c r="AS222" i="9"/>
  <c r="BD219" i="9"/>
  <c r="BH219" i="9" s="1"/>
  <c r="BH192" i="9"/>
  <c r="BI184" i="9"/>
  <c r="BC139" i="9"/>
  <c r="AZ169" i="9"/>
  <c r="BI136" i="9"/>
  <c r="BI196" i="9"/>
  <c r="BI102" i="9"/>
  <c r="BC53" i="9"/>
  <c r="BE53" i="9" s="1"/>
  <c r="BI53" i="9" s="1"/>
  <c r="BI27" i="9"/>
  <c r="BC45" i="9"/>
  <c r="BI13" i="9"/>
  <c r="AZ193" i="9"/>
  <c r="AJ54" i="9"/>
  <c r="AJ176" i="9"/>
  <c r="AA54" i="9"/>
  <c r="AA222" i="9" s="1"/>
  <c r="F54" i="9"/>
  <c r="F222" i="9" s="1"/>
  <c r="N79" i="9"/>
  <c r="J79" i="9"/>
  <c r="N78" i="9"/>
  <c r="J78" i="9"/>
  <c r="N77" i="9"/>
  <c r="J77" i="9"/>
  <c r="N76" i="9"/>
  <c r="J76" i="9"/>
  <c r="N75" i="9"/>
  <c r="J75" i="9"/>
  <c r="N73" i="9"/>
  <c r="J73" i="9"/>
  <c r="N72" i="9"/>
  <c r="J72" i="9"/>
  <c r="AA66" i="9"/>
  <c r="P66" i="9"/>
  <c r="F66" i="9"/>
  <c r="AI64" i="9"/>
  <c r="U64" i="9"/>
  <c r="Y64" i="9" s="1"/>
  <c r="U63" i="9"/>
  <c r="Y63" i="9" s="1"/>
  <c r="K63" i="9"/>
  <c r="N63" i="9" s="1"/>
  <c r="U62" i="9"/>
  <c r="Y62" i="9" s="1"/>
  <c r="K62" i="9"/>
  <c r="N62" i="9" s="1"/>
  <c r="Q61" i="9"/>
  <c r="AI45" i="9"/>
  <c r="AI54" i="9" s="1"/>
  <c r="AI222" i="9" s="1"/>
  <c r="BE218" i="9" l="1"/>
  <c r="BC122" i="9"/>
  <c r="BG122" i="9" s="1"/>
  <c r="AY54" i="9"/>
  <c r="BC121" i="9"/>
  <c r="AY219" i="9"/>
  <c r="BE192" i="9"/>
  <c r="BI192" i="9" s="1"/>
  <c r="BI218" i="9"/>
  <c r="BG53" i="9"/>
  <c r="BC219" i="9"/>
  <c r="BG219" i="9" s="1"/>
  <c r="BG88" i="9"/>
  <c r="BE88" i="9"/>
  <c r="BI88" i="9" s="1"/>
  <c r="BE139" i="9"/>
  <c r="BG139" i="9"/>
  <c r="BG45" i="9"/>
  <c r="BE45" i="9"/>
  <c r="BI45" i="9" s="1"/>
  <c r="AJ222" i="9"/>
  <c r="AK64" i="9"/>
  <c r="AK63" i="9"/>
  <c r="AK62" i="9"/>
  <c r="N66" i="9"/>
  <c r="BE122" i="9" l="1"/>
  <c r="BI122" i="9" s="1"/>
  <c r="BE219" i="9"/>
  <c r="BI219" i="9" s="1"/>
  <c r="BG121" i="9"/>
  <c r="BE121" i="9"/>
  <c r="BI121" i="9" s="1"/>
  <c r="BI139" i="9"/>
  <c r="I6" i="7"/>
  <c r="L107" i="7" l="1"/>
  <c r="S61" i="9" l="1"/>
  <c r="U61" i="9" s="1"/>
  <c r="Y61" i="9" s="1"/>
  <c r="AK61" i="9" s="1"/>
  <c r="L153" i="7"/>
  <c r="S65" i="9" l="1"/>
  <c r="U65" i="9" s="1"/>
  <c r="Y65" i="9" s="1"/>
  <c r="S145" i="7"/>
  <c r="AK65" i="9" l="1"/>
  <c r="AK66" i="9" s="1"/>
  <c r="Y66" i="9"/>
  <c r="X137" i="7"/>
  <c r="X47" i="7"/>
  <c r="I10" i="7" l="1"/>
  <c r="X10" i="7" s="1"/>
  <c r="W138" i="7"/>
  <c r="X138" i="7" s="1"/>
  <c r="P69" i="7"/>
  <c r="X69" i="7" s="1"/>
  <c r="P60" i="7"/>
  <c r="X60" i="7" s="1"/>
  <c r="P52" i="7"/>
  <c r="X52" i="7" s="1"/>
  <c r="P51" i="7"/>
  <c r="X51" i="7" s="1"/>
  <c r="P49" i="7"/>
  <c r="X49" i="7" s="1"/>
  <c r="P48" i="7"/>
  <c r="X48" i="7" s="1"/>
  <c r="X6" i="7"/>
  <c r="H181" i="7"/>
  <c r="H180" i="7"/>
  <c r="H179" i="7"/>
  <c r="H178" i="7"/>
  <c r="H177" i="7"/>
  <c r="H175" i="7"/>
  <c r="H174" i="7"/>
  <c r="F170" i="7"/>
  <c r="F169" i="7"/>
  <c r="F167" i="7"/>
  <c r="F166" i="7"/>
  <c r="F165" i="7"/>
  <c r="F164" i="7"/>
  <c r="F163" i="7"/>
  <c r="R158" i="7"/>
  <c r="K158" i="7"/>
  <c r="E158" i="7"/>
  <c r="X155" i="7"/>
  <c r="X154" i="7"/>
  <c r="R144" i="7"/>
  <c r="R146" i="7" s="1"/>
  <c r="P144" i="7"/>
  <c r="K144" i="7"/>
  <c r="E144" i="7"/>
  <c r="U139" i="7"/>
  <c r="U140" i="7" s="1"/>
  <c r="T139" i="7"/>
  <c r="T140" i="7" s="1"/>
  <c r="S139" i="7"/>
  <c r="S140" i="7" s="1"/>
  <c r="K136" i="7"/>
  <c r="E136" i="7"/>
  <c r="J112" i="7"/>
  <c r="J89" i="7"/>
  <c r="J84" i="7"/>
  <c r="J76" i="7"/>
  <c r="M72" i="7"/>
  <c r="M77" i="7" s="1"/>
  <c r="M71" i="7"/>
  <c r="M98" i="7" s="1"/>
  <c r="P98" i="7" s="1"/>
  <c r="X98" i="7" s="1"/>
  <c r="J68" i="7"/>
  <c r="M58" i="7"/>
  <c r="M59" i="7" s="1"/>
  <c r="P59" i="7" s="1"/>
  <c r="X59" i="7" s="1"/>
  <c r="M56" i="7"/>
  <c r="M64" i="7" s="1"/>
  <c r="P64" i="7" s="1"/>
  <c r="X64" i="7" s="1"/>
  <c r="M53" i="7"/>
  <c r="M57" i="7" s="1"/>
  <c r="P57" i="7" s="1"/>
  <c r="X57" i="7" s="1"/>
  <c r="M50" i="7"/>
  <c r="N49" i="7"/>
  <c r="N50" i="7" s="1"/>
  <c r="E46" i="7"/>
  <c r="G17" i="7"/>
  <c r="F17" i="7"/>
  <c r="F19" i="7" s="1"/>
  <c r="F20" i="7" s="1"/>
  <c r="F24" i="7" s="1"/>
  <c r="H7" i="7"/>
  <c r="H8" i="7" s="1"/>
  <c r="H9" i="7" s="1"/>
  <c r="H10" i="7" s="1"/>
  <c r="H11" i="7" s="1"/>
  <c r="H12" i="7" s="1"/>
  <c r="H13" i="7" s="1"/>
  <c r="H14" i="7" s="1"/>
  <c r="H15" i="7" s="1"/>
  <c r="H16" i="7" s="1"/>
  <c r="H17" i="7" s="1"/>
  <c r="H18" i="7" s="1"/>
  <c r="H19" i="7" s="1"/>
  <c r="H20" i="7" s="1"/>
  <c r="H21" i="7" s="1"/>
  <c r="H22" i="7" s="1"/>
  <c r="H23" i="7" s="1"/>
  <c r="H24" i="7" s="1"/>
  <c r="H25" i="7" s="1"/>
  <c r="H26" i="7" s="1"/>
  <c r="H27" i="7" s="1"/>
  <c r="H28" i="7" s="1"/>
  <c r="H29" i="7" s="1"/>
  <c r="H30" i="7" s="1"/>
  <c r="H31" i="7" s="1"/>
  <c r="H32" i="7" s="1"/>
  <c r="H33" i="7" s="1"/>
  <c r="H34" i="7" s="1"/>
  <c r="H35" i="7" s="1"/>
  <c r="G7" i="7"/>
  <c r="G8" i="7" s="1"/>
  <c r="F7" i="7"/>
  <c r="F8" i="7" s="1"/>
  <c r="F9" i="7" s="1"/>
  <c r="F11" i="7" s="1"/>
  <c r="F12" i="7" s="1"/>
  <c r="F13" i="7" s="1"/>
  <c r="F14" i="7" s="1"/>
  <c r="F15" i="7" s="1"/>
  <c r="F16" i="7" s="1"/>
  <c r="F18" i="7" s="1"/>
  <c r="F21" i="7" s="1"/>
  <c r="F22" i="7" s="1"/>
  <c r="F23" i="7" s="1"/>
  <c r="F25" i="7" s="1"/>
  <c r="F26" i="7" s="1"/>
  <c r="F27" i="7" s="1"/>
  <c r="F28" i="7" s="1"/>
  <c r="F29" i="7" s="1"/>
  <c r="F30" i="7" s="1"/>
  <c r="F31" i="7" s="1"/>
  <c r="F32" i="7" s="1"/>
  <c r="F33" i="7" s="1"/>
  <c r="F34" i="7" s="1"/>
  <c r="F35" i="7" s="1"/>
  <c r="Y45" i="9" l="1"/>
  <c r="Y54" i="9" s="1"/>
  <c r="Y222" i="9" s="1"/>
  <c r="S143" i="7"/>
  <c r="S142" i="7"/>
  <c r="E146" i="7"/>
  <c r="K146" i="7"/>
  <c r="W140" i="7"/>
  <c r="X140" i="7" s="1"/>
  <c r="T142" i="7"/>
  <c r="X157" i="7"/>
  <c r="U143" i="7"/>
  <c r="U145" i="7" s="1"/>
  <c r="U142" i="7"/>
  <c r="X156" i="7"/>
  <c r="G19" i="7"/>
  <c r="I17" i="7"/>
  <c r="X17" i="7" s="1"/>
  <c r="I8" i="7"/>
  <c r="X8" i="7" s="1"/>
  <c r="I7" i="7"/>
  <c r="X7" i="7" s="1"/>
  <c r="P50" i="7"/>
  <c r="X50" i="7" s="1"/>
  <c r="P56" i="7"/>
  <c r="X56" i="7" s="1"/>
  <c r="P58" i="7"/>
  <c r="X58" i="7" s="1"/>
  <c r="P72" i="7"/>
  <c r="X72" i="7" s="1"/>
  <c r="P77" i="7"/>
  <c r="X77" i="7" s="1"/>
  <c r="W139" i="7"/>
  <c r="X139" i="7" s="1"/>
  <c r="P53" i="7"/>
  <c r="X53" i="7" s="1"/>
  <c r="P71" i="7"/>
  <c r="X71" i="7" s="1"/>
  <c r="F37" i="7"/>
  <c r="F38" i="7" s="1"/>
  <c r="F39" i="7" s="1"/>
  <c r="F40" i="7" s="1"/>
  <c r="F41" i="7" s="1"/>
  <c r="F43" i="7" s="1"/>
  <c r="F44" i="7" s="1"/>
  <c r="F45" i="7" s="1"/>
  <c r="F54" i="7" s="1"/>
  <c r="F55" i="7" s="1"/>
  <c r="F62" i="7" s="1"/>
  <c r="F66" i="7" s="1"/>
  <c r="F36" i="7"/>
  <c r="H37" i="7"/>
  <c r="H38" i="7" s="1"/>
  <c r="H39" i="7" s="1"/>
  <c r="H40" i="7" s="1"/>
  <c r="H41" i="7" s="1"/>
  <c r="H36" i="7"/>
  <c r="F73" i="7"/>
  <c r="F74" i="7" s="1"/>
  <c r="F75" i="7" s="1"/>
  <c r="F82" i="7" s="1"/>
  <c r="F86" i="7" s="1"/>
  <c r="F42" i="7"/>
  <c r="G9" i="7"/>
  <c r="N51" i="7"/>
  <c r="N52" i="7"/>
  <c r="M61" i="7"/>
  <c r="M65" i="7"/>
  <c r="M67" i="7"/>
  <c r="M85" i="7"/>
  <c r="M113" i="7"/>
  <c r="T143" i="7"/>
  <c r="T145" i="7" s="1"/>
  <c r="W145" i="7" s="1"/>
  <c r="X153" i="7"/>
  <c r="X158" i="7" s="1"/>
  <c r="G20" i="7" l="1"/>
  <c r="G24" i="7" s="1"/>
  <c r="I19" i="7"/>
  <c r="X19" i="7" s="1"/>
  <c r="W142" i="7"/>
  <c r="X142" i="7" s="1"/>
  <c r="P85" i="7"/>
  <c r="X85" i="7" s="1"/>
  <c r="P61" i="7"/>
  <c r="X61" i="7" s="1"/>
  <c r="W143" i="7"/>
  <c r="X143" i="7" s="1"/>
  <c r="I9" i="7"/>
  <c r="X9" i="7" s="1"/>
  <c r="P113" i="7"/>
  <c r="X113" i="7" s="1"/>
  <c r="P67" i="7"/>
  <c r="X67" i="7" s="1"/>
  <c r="P65" i="7"/>
  <c r="X65" i="7" s="1"/>
  <c r="M88" i="7"/>
  <c r="M63" i="7"/>
  <c r="G11" i="7"/>
  <c r="F95" i="7"/>
  <c r="F96" i="7" s="1"/>
  <c r="H43" i="7"/>
  <c r="H44" i="7" s="1"/>
  <c r="H45" i="7" s="1"/>
  <c r="H54" i="7" s="1"/>
  <c r="H55" i="7" s="1"/>
  <c r="H62" i="7" s="1"/>
  <c r="H66" i="7" s="1"/>
  <c r="H73" i="7" s="1"/>
  <c r="H74" i="7" s="1"/>
  <c r="H75" i="7" s="1"/>
  <c r="H78" i="7" s="1"/>
  <c r="H79" i="7" s="1"/>
  <c r="H81" i="7" s="1"/>
  <c r="H82" i="7" s="1"/>
  <c r="H83" i="7" s="1"/>
  <c r="H86" i="7" s="1"/>
  <c r="H95" i="7" s="1"/>
  <c r="H96" i="7" s="1"/>
  <c r="H100" i="7" s="1"/>
  <c r="H101" i="7" s="1"/>
  <c r="H103" i="7" s="1"/>
  <c r="H104" i="7" s="1"/>
  <c r="H108" i="7" s="1"/>
  <c r="H109" i="7" s="1"/>
  <c r="H110" i="7" s="1"/>
  <c r="H111" i="7" s="1"/>
  <c r="H114" i="7" s="1"/>
  <c r="H115" i="7" s="1"/>
  <c r="H116" i="7" s="1"/>
  <c r="H117" i="7" s="1"/>
  <c r="H118" i="7" s="1"/>
  <c r="H42" i="7"/>
  <c r="F79" i="7"/>
  <c r="F81" i="7" s="1"/>
  <c r="F83" i="7" s="1"/>
  <c r="F100" i="7" s="1"/>
  <c r="F101" i="7" s="1"/>
  <c r="F103" i="7" s="1"/>
  <c r="F104" i="7" s="1"/>
  <c r="F108" i="7" s="1"/>
  <c r="F109" i="7" s="1"/>
  <c r="F110" i="7" s="1"/>
  <c r="F111" i="7" s="1"/>
  <c r="F114" i="7" s="1"/>
  <c r="F115" i="7" s="1"/>
  <c r="F116" i="7" s="1"/>
  <c r="F78" i="7"/>
  <c r="M128" i="7"/>
  <c r="P128" i="7" s="1"/>
  <c r="M80" i="7"/>
  <c r="M87" i="7" s="1"/>
  <c r="M76" i="7"/>
  <c r="M68" i="7"/>
  <c r="N53" i="7"/>
  <c r="N56" i="7" s="1"/>
  <c r="N57" i="7" s="1"/>
  <c r="N58" i="7" s="1"/>
  <c r="N59" i="7" s="1"/>
  <c r="N60" i="7" s="1"/>
  <c r="I20" i="7" l="1"/>
  <c r="X20" i="7" s="1"/>
  <c r="P76" i="7"/>
  <c r="X76" i="7" s="1"/>
  <c r="X128" i="7"/>
  <c r="I24" i="7"/>
  <c r="X24" i="7" s="1"/>
  <c r="P88" i="7"/>
  <c r="X88" i="7" s="1"/>
  <c r="P68" i="7"/>
  <c r="X68" i="7" s="1"/>
  <c r="P80" i="7"/>
  <c r="X80" i="7" s="1"/>
  <c r="X145" i="7"/>
  <c r="I11" i="7"/>
  <c r="X11" i="7" s="1"/>
  <c r="P63" i="7"/>
  <c r="X63" i="7" s="1"/>
  <c r="N61" i="7"/>
  <c r="N63" i="7" s="1"/>
  <c r="N64" i="7" s="1"/>
  <c r="M70" i="7"/>
  <c r="G12" i="7"/>
  <c r="G42" i="7"/>
  <c r="M84" i="7"/>
  <c r="F118" i="7"/>
  <c r="F117" i="7"/>
  <c r="F119" i="7" s="1"/>
  <c r="F123" i="7" s="1"/>
  <c r="H130" i="7"/>
  <c r="H131" i="7" s="1"/>
  <c r="H141" i="7" s="1"/>
  <c r="H122" i="7"/>
  <c r="H124" i="7" s="1"/>
  <c r="H125" i="7" s="1"/>
  <c r="H126" i="7" s="1"/>
  <c r="H127" i="7" s="1"/>
  <c r="H119" i="7"/>
  <c r="H123" i="7" s="1"/>
  <c r="M89" i="7"/>
  <c r="P89" i="7" l="1"/>
  <c r="X89" i="7" s="1"/>
  <c r="P87" i="7"/>
  <c r="X87" i="7" s="1"/>
  <c r="I42" i="7"/>
  <c r="X42" i="7" s="1"/>
  <c r="P70" i="7"/>
  <c r="X70" i="7" s="1"/>
  <c r="P84" i="7"/>
  <c r="X84" i="7" s="1"/>
  <c r="I12" i="7"/>
  <c r="X12" i="7" s="1"/>
  <c r="M112" i="7"/>
  <c r="N65" i="7"/>
  <c r="M92" i="7"/>
  <c r="F130" i="7"/>
  <c r="F131" i="7" s="1"/>
  <c r="F141" i="7" s="1"/>
  <c r="F122" i="7"/>
  <c r="F124" i="7" s="1"/>
  <c r="F125" i="7" s="1"/>
  <c r="F126" i="7" s="1"/>
  <c r="F127" i="7" s="1"/>
  <c r="M90" i="7"/>
  <c r="W144" i="7"/>
  <c r="W146" i="7" s="1"/>
  <c r="G73" i="7"/>
  <c r="G13" i="7"/>
  <c r="I13" i="7" l="1"/>
  <c r="X13" i="7" s="1"/>
  <c r="I73" i="7"/>
  <c r="X73" i="7" s="1"/>
  <c r="P90" i="7"/>
  <c r="X90" i="7" s="1"/>
  <c r="P92" i="7"/>
  <c r="X92" i="7" s="1"/>
  <c r="P112" i="7"/>
  <c r="X112" i="7" s="1"/>
  <c r="G14" i="7"/>
  <c r="M91" i="7"/>
  <c r="G74" i="7"/>
  <c r="M93" i="7"/>
  <c r="M107" i="7" s="1"/>
  <c r="N67" i="7"/>
  <c r="M120" i="7"/>
  <c r="P120" i="7" l="1"/>
  <c r="X120" i="7" s="1"/>
  <c r="P93" i="7"/>
  <c r="I74" i="7"/>
  <c r="X74" i="7" s="1"/>
  <c r="P91" i="7"/>
  <c r="X91" i="7" s="1"/>
  <c r="I14" i="7"/>
  <c r="X14" i="7" s="1"/>
  <c r="M97" i="7"/>
  <c r="M129" i="7"/>
  <c r="M132" i="7" s="1"/>
  <c r="M157" i="7" s="1"/>
  <c r="P157" i="7" s="1"/>
  <c r="N68" i="7"/>
  <c r="M94" i="7"/>
  <c r="G75" i="7"/>
  <c r="G15" i="7"/>
  <c r="X93" i="7" l="1"/>
  <c r="P107" i="7"/>
  <c r="X107" i="7" s="1"/>
  <c r="I15" i="7"/>
  <c r="X15" i="7" s="1"/>
  <c r="P129" i="7"/>
  <c r="X129" i="7" s="1"/>
  <c r="I75" i="7"/>
  <c r="X75" i="7" s="1"/>
  <c r="P97" i="7"/>
  <c r="X97" i="7" s="1"/>
  <c r="P94" i="7"/>
  <c r="X94" i="7" s="1"/>
  <c r="G16" i="7"/>
  <c r="G82" i="7"/>
  <c r="G86" i="7" s="1"/>
  <c r="M105" i="7"/>
  <c r="N69" i="7"/>
  <c r="M99" i="7"/>
  <c r="I86" i="7" l="1"/>
  <c r="X86" i="7" s="1"/>
  <c r="P132" i="7"/>
  <c r="X132" i="7" s="1"/>
  <c r="P105" i="7"/>
  <c r="X105" i="7" s="1"/>
  <c r="I16" i="7"/>
  <c r="X16" i="7" s="1"/>
  <c r="P99" i="7"/>
  <c r="X99" i="7" s="1"/>
  <c r="I82" i="7"/>
  <c r="X82" i="7" s="1"/>
  <c r="G95" i="7"/>
  <c r="M102" i="7"/>
  <c r="M133" i="7"/>
  <c r="N70" i="7"/>
  <c r="M106" i="7"/>
  <c r="G18" i="7"/>
  <c r="P106" i="7" l="1"/>
  <c r="X106" i="7" s="1"/>
  <c r="P133" i="7"/>
  <c r="X133" i="7" s="1"/>
  <c r="I95" i="7"/>
  <c r="X95" i="7" s="1"/>
  <c r="I18" i="7"/>
  <c r="X18" i="7" s="1"/>
  <c r="P102" i="7"/>
  <c r="X102" i="7" s="1"/>
  <c r="M134" i="7"/>
  <c r="N71" i="7"/>
  <c r="M121" i="7"/>
  <c r="G96" i="7"/>
  <c r="G21" i="7"/>
  <c r="Q115" i="5"/>
  <c r="R115" i="5" s="1"/>
  <c r="I115" i="5"/>
  <c r="J115" i="5" s="1"/>
  <c r="R115" i="4"/>
  <c r="I115" i="4"/>
  <c r="J115" i="4" s="1"/>
  <c r="Z115" i="5" l="1"/>
  <c r="I96" i="7"/>
  <c r="X96" i="7" s="1"/>
  <c r="I21" i="7"/>
  <c r="X21" i="7" s="1"/>
  <c r="P121" i="7"/>
  <c r="X121" i="7" s="1"/>
  <c r="P134" i="7"/>
  <c r="X134" i="7" s="1"/>
  <c r="M135" i="7"/>
  <c r="M153" i="7" s="1"/>
  <c r="P153" i="7" s="1"/>
  <c r="G22" i="7"/>
  <c r="N72" i="7"/>
  <c r="Z115" i="4"/>
  <c r="I22" i="7" l="1"/>
  <c r="X22" i="7" s="1"/>
  <c r="P135" i="7"/>
  <c r="X135" i="7" s="1"/>
  <c r="N76" i="7"/>
  <c r="G23" i="7"/>
  <c r="I23" i="7" l="1"/>
  <c r="X23" i="7" s="1"/>
  <c r="G25" i="7"/>
  <c r="N77" i="7"/>
  <c r="I25" i="7" l="1"/>
  <c r="X25" i="7" s="1"/>
  <c r="G26" i="7"/>
  <c r="N80" i="7"/>
  <c r="J154" i="5"/>
  <c r="F154" i="5"/>
  <c r="J153" i="5"/>
  <c r="F153" i="5"/>
  <c r="J151" i="5"/>
  <c r="F151" i="5"/>
  <c r="J150" i="5"/>
  <c r="F150" i="5"/>
  <c r="J149" i="5"/>
  <c r="F149" i="5"/>
  <c r="J148" i="5"/>
  <c r="F148" i="5"/>
  <c r="J147" i="5"/>
  <c r="F147" i="5"/>
  <c r="T142" i="5"/>
  <c r="L142" i="5"/>
  <c r="E142" i="5"/>
  <c r="Q141" i="5"/>
  <c r="J141" i="5"/>
  <c r="X140" i="5"/>
  <c r="Y140" i="5" s="1"/>
  <c r="Y142" i="5" s="1"/>
  <c r="R140" i="5"/>
  <c r="I140" i="5"/>
  <c r="J140" i="5" s="1"/>
  <c r="I139" i="5"/>
  <c r="J139" i="5" s="1"/>
  <c r="R138" i="5"/>
  <c r="I138" i="5"/>
  <c r="J138" i="5" s="1"/>
  <c r="Q137" i="5"/>
  <c r="R137" i="5" s="1"/>
  <c r="I137" i="5"/>
  <c r="J137" i="5" s="1"/>
  <c r="R142" i="5"/>
  <c r="T129" i="5"/>
  <c r="T130" i="5" s="1"/>
  <c r="L129" i="5"/>
  <c r="E129" i="5"/>
  <c r="X128" i="5"/>
  <c r="Y128" i="5" s="1"/>
  <c r="R128" i="5"/>
  <c r="J128" i="5"/>
  <c r="X127" i="5"/>
  <c r="Y127" i="5" s="1"/>
  <c r="R127" i="5"/>
  <c r="J127" i="5"/>
  <c r="X126" i="5"/>
  <c r="Y126" i="5" s="1"/>
  <c r="R126" i="5"/>
  <c r="J126" i="5"/>
  <c r="X125" i="5"/>
  <c r="Y125" i="5" s="1"/>
  <c r="R125" i="5"/>
  <c r="J125" i="5"/>
  <c r="L123" i="5"/>
  <c r="E123" i="5"/>
  <c r="Q122" i="5"/>
  <c r="R122" i="5" s="1"/>
  <c r="I122" i="5"/>
  <c r="J122" i="5" s="1"/>
  <c r="Q121" i="5"/>
  <c r="R121" i="5" s="1"/>
  <c r="I121" i="5"/>
  <c r="J121" i="5" s="1"/>
  <c r="Q120" i="5"/>
  <c r="R120" i="5" s="1"/>
  <c r="I120" i="5"/>
  <c r="J120" i="5" s="1"/>
  <c r="Q119" i="5"/>
  <c r="R119" i="5" s="1"/>
  <c r="I119" i="5"/>
  <c r="J119" i="5" s="1"/>
  <c r="Q118" i="5"/>
  <c r="R118" i="5" s="1"/>
  <c r="I118" i="5"/>
  <c r="J118" i="5" s="1"/>
  <c r="Q117" i="5"/>
  <c r="R117" i="5" s="1"/>
  <c r="I117" i="5"/>
  <c r="J117" i="5" s="1"/>
  <c r="Q116" i="5"/>
  <c r="R116" i="5" s="1"/>
  <c r="I116" i="5"/>
  <c r="J116" i="5" s="1"/>
  <c r="Q114" i="5"/>
  <c r="R114" i="5" s="1"/>
  <c r="I114" i="5"/>
  <c r="J114" i="5" s="1"/>
  <c r="Q113" i="5"/>
  <c r="R113" i="5" s="1"/>
  <c r="I113" i="5"/>
  <c r="J113" i="5" s="1"/>
  <c r="Q112" i="5"/>
  <c r="R112" i="5" s="1"/>
  <c r="I112" i="5"/>
  <c r="J112" i="5" s="1"/>
  <c r="Q111" i="5"/>
  <c r="R111" i="5" s="1"/>
  <c r="I111" i="5"/>
  <c r="J111" i="5" s="1"/>
  <c r="Q110" i="5"/>
  <c r="R110" i="5" s="1"/>
  <c r="I110" i="5"/>
  <c r="J110" i="5" s="1"/>
  <c r="Q109" i="5"/>
  <c r="R109" i="5" s="1"/>
  <c r="I109" i="5"/>
  <c r="J109" i="5" s="1"/>
  <c r="Q108" i="5"/>
  <c r="R108" i="5" s="1"/>
  <c r="I108" i="5"/>
  <c r="J108" i="5" s="1"/>
  <c r="Q107" i="5"/>
  <c r="R107" i="5" s="1"/>
  <c r="I107" i="5"/>
  <c r="J107" i="5" s="1"/>
  <c r="Q106" i="5"/>
  <c r="R106" i="5" s="1"/>
  <c r="I106" i="5"/>
  <c r="J106" i="5" s="1"/>
  <c r="Q105" i="5"/>
  <c r="R105" i="5" s="1"/>
  <c r="I105" i="5"/>
  <c r="J105" i="5" s="1"/>
  <c r="Q104" i="5"/>
  <c r="R104" i="5" s="1"/>
  <c r="I104" i="5"/>
  <c r="J104" i="5" s="1"/>
  <c r="Z104" i="5" s="1"/>
  <c r="Q103" i="5"/>
  <c r="R103" i="5" s="1"/>
  <c r="I103" i="5"/>
  <c r="J103" i="5" s="1"/>
  <c r="Q102" i="5"/>
  <c r="R102" i="5" s="1"/>
  <c r="I102" i="5"/>
  <c r="J102" i="5" s="1"/>
  <c r="Q101" i="5"/>
  <c r="R101" i="5" s="1"/>
  <c r="I101" i="5"/>
  <c r="J101" i="5" s="1"/>
  <c r="Q100" i="5"/>
  <c r="R100" i="5" s="1"/>
  <c r="I100" i="5"/>
  <c r="J100" i="5" s="1"/>
  <c r="Q99" i="5"/>
  <c r="R99" i="5" s="1"/>
  <c r="I99" i="5"/>
  <c r="J99" i="5" s="1"/>
  <c r="Q98" i="5"/>
  <c r="R98" i="5" s="1"/>
  <c r="I98" i="5"/>
  <c r="J98" i="5" s="1"/>
  <c r="Q97" i="5"/>
  <c r="R97" i="5" s="1"/>
  <c r="I97" i="5"/>
  <c r="J97" i="5" s="1"/>
  <c r="Q96" i="5"/>
  <c r="R96" i="5" s="1"/>
  <c r="I96" i="5"/>
  <c r="J96" i="5" s="1"/>
  <c r="Q95" i="5"/>
  <c r="R95" i="5" s="1"/>
  <c r="I95" i="5"/>
  <c r="J95" i="5" s="1"/>
  <c r="Q94" i="5"/>
  <c r="R94" i="5" s="1"/>
  <c r="I94" i="5"/>
  <c r="J94" i="5" s="1"/>
  <c r="Q93" i="5"/>
  <c r="R93" i="5" s="1"/>
  <c r="I93" i="5"/>
  <c r="J93" i="5" s="1"/>
  <c r="Q92" i="5"/>
  <c r="R92" i="5" s="1"/>
  <c r="I92" i="5"/>
  <c r="J92" i="5" s="1"/>
  <c r="Q91" i="5"/>
  <c r="R91" i="5" s="1"/>
  <c r="I91" i="5"/>
  <c r="J91" i="5" s="1"/>
  <c r="Q90" i="5"/>
  <c r="R90" i="5" s="1"/>
  <c r="I90" i="5"/>
  <c r="J90" i="5" s="1"/>
  <c r="Q89" i="5"/>
  <c r="R89" i="5" s="1"/>
  <c r="I89" i="5"/>
  <c r="J89" i="5" s="1"/>
  <c r="Q88" i="5"/>
  <c r="R88" i="5" s="1"/>
  <c r="I88" i="5"/>
  <c r="J88" i="5" s="1"/>
  <c r="Q87" i="5"/>
  <c r="R87" i="5" s="1"/>
  <c r="I87" i="5"/>
  <c r="J87" i="5" s="1"/>
  <c r="Q86" i="5"/>
  <c r="R86" i="5" s="1"/>
  <c r="I86" i="5"/>
  <c r="J86" i="5" s="1"/>
  <c r="Q85" i="5"/>
  <c r="R85" i="5" s="1"/>
  <c r="I85" i="5"/>
  <c r="J85" i="5" s="1"/>
  <c r="Q84" i="5"/>
  <c r="R84" i="5" s="1"/>
  <c r="I84" i="5"/>
  <c r="J84" i="5" s="1"/>
  <c r="Q83" i="5"/>
  <c r="R83" i="5" s="1"/>
  <c r="I83" i="5"/>
  <c r="J83" i="5" s="1"/>
  <c r="Q82" i="5"/>
  <c r="R82" i="5" s="1"/>
  <c r="I82" i="5"/>
  <c r="J82" i="5" s="1"/>
  <c r="Q81" i="5"/>
  <c r="R81" i="5" s="1"/>
  <c r="I81" i="5"/>
  <c r="J81" i="5" s="1"/>
  <c r="Q80" i="5"/>
  <c r="R80" i="5" s="1"/>
  <c r="I80" i="5"/>
  <c r="J80" i="5" s="1"/>
  <c r="Q79" i="5"/>
  <c r="R79" i="5" s="1"/>
  <c r="I79" i="5"/>
  <c r="J79" i="5" s="1"/>
  <c r="Q78" i="5"/>
  <c r="R78" i="5" s="1"/>
  <c r="I78" i="5"/>
  <c r="J78" i="5" s="1"/>
  <c r="Q77" i="5"/>
  <c r="R77" i="5" s="1"/>
  <c r="I77" i="5"/>
  <c r="J77" i="5" s="1"/>
  <c r="Q76" i="5"/>
  <c r="R76" i="5" s="1"/>
  <c r="I76" i="5"/>
  <c r="J76" i="5" s="1"/>
  <c r="Q75" i="5"/>
  <c r="R75" i="5" s="1"/>
  <c r="I75" i="5"/>
  <c r="J75" i="5" s="1"/>
  <c r="Q74" i="5"/>
  <c r="R74" i="5" s="1"/>
  <c r="I74" i="5"/>
  <c r="J74" i="5" s="1"/>
  <c r="Q73" i="5"/>
  <c r="R73" i="5" s="1"/>
  <c r="I73" i="5"/>
  <c r="J73" i="5" s="1"/>
  <c r="Q72" i="5"/>
  <c r="R72" i="5" s="1"/>
  <c r="I72" i="5"/>
  <c r="J72" i="5" s="1"/>
  <c r="Q71" i="5"/>
  <c r="R71" i="5" s="1"/>
  <c r="I71" i="5"/>
  <c r="J71" i="5" s="1"/>
  <c r="Q70" i="5"/>
  <c r="R70" i="5" s="1"/>
  <c r="I70" i="5"/>
  <c r="J70" i="5" s="1"/>
  <c r="Q69" i="5"/>
  <c r="R69" i="5" s="1"/>
  <c r="I69" i="5"/>
  <c r="J69" i="5" s="1"/>
  <c r="Q68" i="5"/>
  <c r="R68" i="5" s="1"/>
  <c r="I68" i="5"/>
  <c r="J68" i="5" s="1"/>
  <c r="Q67" i="5"/>
  <c r="R67" i="5" s="1"/>
  <c r="I67" i="5"/>
  <c r="J67" i="5" s="1"/>
  <c r="Q66" i="5"/>
  <c r="R66" i="5" s="1"/>
  <c r="I66" i="5"/>
  <c r="J66" i="5" s="1"/>
  <c r="Q65" i="5"/>
  <c r="R65" i="5" s="1"/>
  <c r="I65" i="5"/>
  <c r="J65" i="5" s="1"/>
  <c r="Q64" i="5"/>
  <c r="R64" i="5" s="1"/>
  <c r="I64" i="5"/>
  <c r="J64" i="5" s="1"/>
  <c r="Q63" i="5"/>
  <c r="R63" i="5" s="1"/>
  <c r="I63" i="5"/>
  <c r="J63" i="5" s="1"/>
  <c r="Q62" i="5"/>
  <c r="R62" i="5" s="1"/>
  <c r="I62" i="5"/>
  <c r="J62" i="5" s="1"/>
  <c r="Q61" i="5"/>
  <c r="R61" i="5" s="1"/>
  <c r="I61" i="5"/>
  <c r="J61" i="5" s="1"/>
  <c r="Q60" i="5"/>
  <c r="R60" i="5" s="1"/>
  <c r="I60" i="5"/>
  <c r="J60" i="5" s="1"/>
  <c r="Q59" i="5"/>
  <c r="R59" i="5" s="1"/>
  <c r="I59" i="5"/>
  <c r="J59" i="5" s="1"/>
  <c r="Q58" i="5"/>
  <c r="R58" i="5" s="1"/>
  <c r="I58" i="5"/>
  <c r="J58" i="5" s="1"/>
  <c r="Q57" i="5"/>
  <c r="R57" i="5" s="1"/>
  <c r="I57" i="5"/>
  <c r="J57" i="5" s="1"/>
  <c r="Q56" i="5"/>
  <c r="R56" i="5" s="1"/>
  <c r="I56" i="5"/>
  <c r="J56" i="5" s="1"/>
  <c r="Z56" i="5" s="1"/>
  <c r="Q55" i="5"/>
  <c r="R55" i="5" s="1"/>
  <c r="I55" i="5"/>
  <c r="J55" i="5" s="1"/>
  <c r="Q54" i="5"/>
  <c r="R54" i="5" s="1"/>
  <c r="I54" i="5"/>
  <c r="J54" i="5" s="1"/>
  <c r="Q53" i="5"/>
  <c r="R53" i="5" s="1"/>
  <c r="I53" i="5"/>
  <c r="J53" i="5" s="1"/>
  <c r="Q52" i="5"/>
  <c r="R52" i="5" s="1"/>
  <c r="I52" i="5"/>
  <c r="J52" i="5" s="1"/>
  <c r="Q51" i="5"/>
  <c r="R51" i="5" s="1"/>
  <c r="I51" i="5"/>
  <c r="J51" i="5" s="1"/>
  <c r="Q50" i="5"/>
  <c r="R50" i="5" s="1"/>
  <c r="I50" i="5"/>
  <c r="J50" i="5" s="1"/>
  <c r="Q49" i="5"/>
  <c r="R49" i="5" s="1"/>
  <c r="I49" i="5"/>
  <c r="J49" i="5" s="1"/>
  <c r="Q48" i="5"/>
  <c r="R48" i="5" s="1"/>
  <c r="I48" i="5"/>
  <c r="J48" i="5" s="1"/>
  <c r="Q47" i="5"/>
  <c r="R47" i="5" s="1"/>
  <c r="I47" i="5"/>
  <c r="J47" i="5" s="1"/>
  <c r="Q46" i="5"/>
  <c r="R46" i="5" s="1"/>
  <c r="I46" i="5"/>
  <c r="J46" i="5" s="1"/>
  <c r="E44" i="5"/>
  <c r="I43" i="5"/>
  <c r="J43" i="5" s="1"/>
  <c r="Z43" i="5" s="1"/>
  <c r="I42" i="5"/>
  <c r="J42" i="5" s="1"/>
  <c r="Z42" i="5" s="1"/>
  <c r="I41" i="5"/>
  <c r="J41" i="5" s="1"/>
  <c r="Z41" i="5" s="1"/>
  <c r="I40" i="5"/>
  <c r="J40" i="5" s="1"/>
  <c r="Z40" i="5" s="1"/>
  <c r="I39" i="5"/>
  <c r="J39" i="5" s="1"/>
  <c r="Z39" i="5" s="1"/>
  <c r="I38" i="5"/>
  <c r="J38" i="5" s="1"/>
  <c r="Z38" i="5" s="1"/>
  <c r="I37" i="5"/>
  <c r="J37" i="5" s="1"/>
  <c r="Z37" i="5" s="1"/>
  <c r="I36" i="5"/>
  <c r="J36" i="5" s="1"/>
  <c r="Z36" i="5" s="1"/>
  <c r="I35" i="5"/>
  <c r="J35" i="5" s="1"/>
  <c r="Z35" i="5" s="1"/>
  <c r="I34" i="5"/>
  <c r="J34" i="5" s="1"/>
  <c r="Z34" i="5" s="1"/>
  <c r="I33" i="5"/>
  <c r="J33" i="5" s="1"/>
  <c r="Z33" i="5" s="1"/>
  <c r="I32" i="5"/>
  <c r="J32" i="5" s="1"/>
  <c r="Z32" i="5" s="1"/>
  <c r="I31" i="5"/>
  <c r="J31" i="5" s="1"/>
  <c r="Z31" i="5" s="1"/>
  <c r="I30" i="5"/>
  <c r="J30" i="5" s="1"/>
  <c r="Z30" i="5" s="1"/>
  <c r="I29" i="5"/>
  <c r="J29" i="5" s="1"/>
  <c r="Z29" i="5" s="1"/>
  <c r="I28" i="5"/>
  <c r="J28" i="5" s="1"/>
  <c r="Z28" i="5" s="1"/>
  <c r="I27" i="5"/>
  <c r="J27" i="5" s="1"/>
  <c r="Z27" i="5" s="1"/>
  <c r="I26" i="5"/>
  <c r="J26" i="5" s="1"/>
  <c r="Z26" i="5" s="1"/>
  <c r="I25" i="5"/>
  <c r="J25" i="5" s="1"/>
  <c r="Z25" i="5" s="1"/>
  <c r="I24" i="5"/>
  <c r="J24" i="5" s="1"/>
  <c r="Z24" i="5" s="1"/>
  <c r="I23" i="5"/>
  <c r="J23" i="5" s="1"/>
  <c r="Z23" i="5" s="1"/>
  <c r="I22" i="5"/>
  <c r="J22" i="5" s="1"/>
  <c r="Z22" i="5" s="1"/>
  <c r="I21" i="5"/>
  <c r="J21" i="5" s="1"/>
  <c r="Z21" i="5" s="1"/>
  <c r="I20" i="5"/>
  <c r="J20" i="5" s="1"/>
  <c r="Z20" i="5" s="1"/>
  <c r="I19" i="5"/>
  <c r="J19" i="5" s="1"/>
  <c r="Z19" i="5" s="1"/>
  <c r="I18" i="5"/>
  <c r="J18" i="5" s="1"/>
  <c r="Z18" i="5" s="1"/>
  <c r="I17" i="5"/>
  <c r="J17" i="5" s="1"/>
  <c r="Z17" i="5" s="1"/>
  <c r="I16" i="5"/>
  <c r="J16" i="5" s="1"/>
  <c r="Z16" i="5" s="1"/>
  <c r="I15" i="5"/>
  <c r="J15" i="5" s="1"/>
  <c r="Z15" i="5" s="1"/>
  <c r="I14" i="5"/>
  <c r="J14" i="5" s="1"/>
  <c r="Z14" i="5" s="1"/>
  <c r="I13" i="5"/>
  <c r="J13" i="5" s="1"/>
  <c r="Z13" i="5" s="1"/>
  <c r="I12" i="5"/>
  <c r="J12" i="5" s="1"/>
  <c r="Z12" i="5" s="1"/>
  <c r="I11" i="5"/>
  <c r="J11" i="5" s="1"/>
  <c r="Z11" i="5" s="1"/>
  <c r="I10" i="5"/>
  <c r="J10" i="5" s="1"/>
  <c r="Z10" i="5" s="1"/>
  <c r="I9" i="5"/>
  <c r="J9" i="5" s="1"/>
  <c r="Z9" i="5" s="1"/>
  <c r="I8" i="5"/>
  <c r="J8" i="5" s="1"/>
  <c r="Z8" i="5" s="1"/>
  <c r="I7" i="5"/>
  <c r="J7" i="5" s="1"/>
  <c r="Z7" i="5" s="1"/>
  <c r="I6" i="5"/>
  <c r="J6" i="5" s="1"/>
  <c r="L130" i="5" l="1"/>
  <c r="Z76" i="5"/>
  <c r="Z88" i="5"/>
  <c r="Z122" i="5"/>
  <c r="Z60" i="5"/>
  <c r="Z72" i="5"/>
  <c r="Z96" i="5"/>
  <c r="Z48" i="5"/>
  <c r="Z126" i="5"/>
  <c r="Z112" i="5"/>
  <c r="R129" i="5"/>
  <c r="Z46" i="5"/>
  <c r="Z51" i="5"/>
  <c r="Z59" i="5"/>
  <c r="Z55" i="5"/>
  <c r="Z63" i="5"/>
  <c r="Z92" i="5"/>
  <c r="Z108" i="5"/>
  <c r="Z77" i="5"/>
  <c r="Z121" i="5"/>
  <c r="Z128" i="5"/>
  <c r="Z73" i="5"/>
  <c r="Z89" i="5"/>
  <c r="Z93" i="5"/>
  <c r="E130" i="5"/>
  <c r="Z64" i="5"/>
  <c r="Z68" i="5"/>
  <c r="Z80" i="5"/>
  <c r="Z105" i="5"/>
  <c r="Z109" i="5"/>
  <c r="Z50" i="5"/>
  <c r="Z54" i="5"/>
  <c r="Z62" i="5"/>
  <c r="Z82" i="5"/>
  <c r="Z86" i="5"/>
  <c r="Z94" i="5"/>
  <c r="Z98" i="5"/>
  <c r="Z102" i="5"/>
  <c r="Z110" i="5"/>
  <c r="Z119" i="5"/>
  <c r="I26" i="7"/>
  <c r="X26" i="7" s="1"/>
  <c r="N84" i="7"/>
  <c r="G27" i="7"/>
  <c r="Y129" i="5"/>
  <c r="Y130" i="5" s="1"/>
  <c r="Z67" i="5"/>
  <c r="Z71" i="5"/>
  <c r="Z75" i="5"/>
  <c r="Z79" i="5"/>
  <c r="Z137" i="5"/>
  <c r="R139" i="5"/>
  <c r="Z139" i="5" s="1"/>
  <c r="Z49" i="5"/>
  <c r="Z57" i="5"/>
  <c r="Z61" i="5"/>
  <c r="Z66" i="5"/>
  <c r="Z70" i="5"/>
  <c r="Z78" i="5"/>
  <c r="Z83" i="5"/>
  <c r="Z87" i="5"/>
  <c r="Z91" i="5"/>
  <c r="Z95" i="5"/>
  <c r="Z99" i="5"/>
  <c r="Z103" i="5"/>
  <c r="Z107" i="5"/>
  <c r="Z111" i="5"/>
  <c r="Z116" i="5"/>
  <c r="Z120" i="5"/>
  <c r="Z138" i="5"/>
  <c r="Z140" i="5"/>
  <c r="R141" i="5"/>
  <c r="Z141" i="5" s="1"/>
  <c r="Z100" i="5"/>
  <c r="J129" i="5"/>
  <c r="Z52" i="5"/>
  <c r="Z117" i="5"/>
  <c r="Z84" i="5"/>
  <c r="J44" i="5"/>
  <c r="Z6" i="5"/>
  <c r="Z44" i="5" s="1"/>
  <c r="J123" i="5"/>
  <c r="Z47" i="5"/>
  <c r="Z65" i="5"/>
  <c r="Z113" i="5"/>
  <c r="R123" i="5"/>
  <c r="Z53" i="5"/>
  <c r="Z58" i="5"/>
  <c r="Z69" i="5"/>
  <c r="Z74" i="5"/>
  <c r="Z85" i="5"/>
  <c r="Z90" i="5"/>
  <c r="Z101" i="5"/>
  <c r="Z106" i="5"/>
  <c r="Z118" i="5"/>
  <c r="J142" i="5"/>
  <c r="Z114" i="5"/>
  <c r="Z125" i="5"/>
  <c r="Z127" i="5"/>
  <c r="Z81" i="5"/>
  <c r="Z97" i="5"/>
  <c r="Q100" i="4"/>
  <c r="R100" i="4" s="1"/>
  <c r="I100" i="4"/>
  <c r="J100" i="4" s="1"/>
  <c r="R130" i="5" l="1"/>
  <c r="J130" i="5"/>
  <c r="I27" i="7"/>
  <c r="X27" i="7" s="1"/>
  <c r="G28" i="7"/>
  <c r="N85" i="7"/>
  <c r="Z100" i="4"/>
  <c r="Z142" i="5"/>
  <c r="Z123" i="5"/>
  <c r="Z129" i="5"/>
  <c r="Q53" i="4"/>
  <c r="R53" i="4" s="1"/>
  <c r="I53" i="4"/>
  <c r="J53" i="4" s="1"/>
  <c r="I28" i="7" l="1"/>
  <c r="X28" i="7" s="1"/>
  <c r="N87" i="7"/>
  <c r="G29" i="7"/>
  <c r="Z53" i="4"/>
  <c r="Z130" i="5"/>
  <c r="Q118" i="4"/>
  <c r="R118" i="4" s="1"/>
  <c r="I118" i="4"/>
  <c r="J118" i="4" s="1"/>
  <c r="I29" i="7" l="1"/>
  <c r="X29" i="7" s="1"/>
  <c r="N88" i="7"/>
  <c r="G30" i="7"/>
  <c r="Z118" i="4"/>
  <c r="Q121" i="4"/>
  <c r="I30" i="7" l="1"/>
  <c r="X30" i="7" s="1"/>
  <c r="G31" i="7"/>
  <c r="N89" i="7"/>
  <c r="R121" i="4"/>
  <c r="I121" i="4"/>
  <c r="J121" i="4" s="1"/>
  <c r="I31" i="7" l="1"/>
  <c r="X31" i="7" s="1"/>
  <c r="N90" i="7"/>
  <c r="G32" i="7"/>
  <c r="Z121" i="4"/>
  <c r="Q61" i="4"/>
  <c r="R61" i="4" s="1"/>
  <c r="Q62" i="4"/>
  <c r="R62" i="4" s="1"/>
  <c r="Q63" i="4"/>
  <c r="R63" i="4" s="1"/>
  <c r="Q64" i="4"/>
  <c r="R64" i="4" s="1"/>
  <c r="Q65" i="4"/>
  <c r="R65" i="4" s="1"/>
  <c r="Q66" i="4"/>
  <c r="R66" i="4" s="1"/>
  <c r="Q67" i="4"/>
  <c r="R67" i="4" s="1"/>
  <c r="Q68" i="4"/>
  <c r="R68" i="4" s="1"/>
  <c r="Q69" i="4"/>
  <c r="R69" i="4" s="1"/>
  <c r="Q70" i="4"/>
  <c r="R70" i="4" s="1"/>
  <c r="Q71" i="4"/>
  <c r="R71" i="4" s="1"/>
  <c r="Q72" i="4"/>
  <c r="R72" i="4" s="1"/>
  <c r="Q73" i="4"/>
  <c r="R73" i="4" s="1"/>
  <c r="Q74" i="4"/>
  <c r="R74" i="4" s="1"/>
  <c r="Q75" i="4"/>
  <c r="R75" i="4" s="1"/>
  <c r="Q76" i="4"/>
  <c r="R76" i="4" s="1"/>
  <c r="Q77" i="4"/>
  <c r="R77" i="4" s="1"/>
  <c r="Q78" i="4"/>
  <c r="R78" i="4" s="1"/>
  <c r="Q79" i="4"/>
  <c r="R79" i="4" s="1"/>
  <c r="Q80" i="4"/>
  <c r="R80" i="4" s="1"/>
  <c r="Q81" i="4"/>
  <c r="R81" i="4" s="1"/>
  <c r="Q82" i="4"/>
  <c r="R82" i="4" s="1"/>
  <c r="Q83" i="4"/>
  <c r="R83" i="4" s="1"/>
  <c r="Q84" i="4"/>
  <c r="R84" i="4" s="1"/>
  <c r="Q85" i="4"/>
  <c r="R85" i="4" s="1"/>
  <c r="Q86" i="4"/>
  <c r="R86" i="4" s="1"/>
  <c r="Q87" i="4"/>
  <c r="R87" i="4" s="1"/>
  <c r="Q88" i="4"/>
  <c r="R88" i="4" s="1"/>
  <c r="Q89" i="4"/>
  <c r="R89" i="4" s="1"/>
  <c r="Q90" i="4"/>
  <c r="R90" i="4" s="1"/>
  <c r="Q91" i="4"/>
  <c r="R91" i="4" s="1"/>
  <c r="Q92" i="4"/>
  <c r="R92" i="4" s="1"/>
  <c r="Q93" i="4"/>
  <c r="R93" i="4" s="1"/>
  <c r="Q94" i="4"/>
  <c r="R94" i="4" s="1"/>
  <c r="Q95" i="4"/>
  <c r="R95" i="4" s="1"/>
  <c r="Q96" i="4"/>
  <c r="R96" i="4" s="1"/>
  <c r="Q97" i="4"/>
  <c r="R97" i="4" s="1"/>
  <c r="Q98" i="4"/>
  <c r="R98" i="4" s="1"/>
  <c r="Q99" i="4"/>
  <c r="R99" i="4" s="1"/>
  <c r="Q101" i="4"/>
  <c r="R101" i="4" s="1"/>
  <c r="Q102" i="4"/>
  <c r="R102" i="4" s="1"/>
  <c r="Q103" i="4"/>
  <c r="R103" i="4" s="1"/>
  <c r="Q104" i="4"/>
  <c r="R104" i="4" s="1"/>
  <c r="Q105" i="4"/>
  <c r="R105" i="4" s="1"/>
  <c r="Q106" i="4"/>
  <c r="R106" i="4" s="1"/>
  <c r="Q107" i="4"/>
  <c r="R107" i="4" s="1"/>
  <c r="Q108" i="4"/>
  <c r="R108" i="4" s="1"/>
  <c r="Q109" i="4"/>
  <c r="R109" i="4" s="1"/>
  <c r="Q110" i="4"/>
  <c r="R110" i="4" s="1"/>
  <c r="Q111" i="4"/>
  <c r="R111" i="4" s="1"/>
  <c r="Q112" i="4"/>
  <c r="R112" i="4" s="1"/>
  <c r="Q113" i="4"/>
  <c r="R113" i="4" s="1"/>
  <c r="Q114" i="4"/>
  <c r="R114" i="4" s="1"/>
  <c r="Q116" i="4"/>
  <c r="R116" i="4" s="1"/>
  <c r="Q117" i="4"/>
  <c r="R117" i="4" s="1"/>
  <c r="Q119" i="4"/>
  <c r="R119" i="4" s="1"/>
  <c r="Q120" i="4"/>
  <c r="R120" i="4" s="1"/>
  <c r="Q122" i="4"/>
  <c r="R122" i="4" s="1"/>
  <c r="Q58" i="4"/>
  <c r="R58" i="4" s="1"/>
  <c r="Q59" i="4"/>
  <c r="R59" i="4" s="1"/>
  <c r="Q60" i="4"/>
  <c r="R60" i="4" s="1"/>
  <c r="I52" i="4"/>
  <c r="J52" i="4" s="1"/>
  <c r="I54" i="4"/>
  <c r="J54" i="4" s="1"/>
  <c r="I55" i="4"/>
  <c r="J55" i="4" s="1"/>
  <c r="I56" i="4"/>
  <c r="J56" i="4" s="1"/>
  <c r="I57" i="4"/>
  <c r="J57" i="4" s="1"/>
  <c r="I58" i="4"/>
  <c r="J58" i="4" s="1"/>
  <c r="I59" i="4"/>
  <c r="J59" i="4" s="1"/>
  <c r="Z59" i="4" s="1"/>
  <c r="I60" i="4"/>
  <c r="J60" i="4" s="1"/>
  <c r="I61" i="4"/>
  <c r="J61" i="4" s="1"/>
  <c r="I62" i="4"/>
  <c r="J62" i="4" s="1"/>
  <c r="I63" i="4"/>
  <c r="J63" i="4" s="1"/>
  <c r="I64" i="4"/>
  <c r="J64" i="4" s="1"/>
  <c r="I65" i="4"/>
  <c r="J65" i="4" s="1"/>
  <c r="Z65" i="4" s="1"/>
  <c r="I66" i="4"/>
  <c r="J66" i="4" s="1"/>
  <c r="I67" i="4"/>
  <c r="J67" i="4" s="1"/>
  <c r="I68" i="4"/>
  <c r="J68" i="4" s="1"/>
  <c r="I69" i="4"/>
  <c r="J69" i="4" s="1"/>
  <c r="Z69" i="4" s="1"/>
  <c r="I70" i="4"/>
  <c r="J70" i="4" s="1"/>
  <c r="I71" i="4"/>
  <c r="J71" i="4" s="1"/>
  <c r="I72" i="4"/>
  <c r="J72" i="4" s="1"/>
  <c r="I73" i="4"/>
  <c r="J73" i="4" s="1"/>
  <c r="I74" i="4"/>
  <c r="J74" i="4" s="1"/>
  <c r="I75" i="4"/>
  <c r="J75" i="4" s="1"/>
  <c r="I76" i="4"/>
  <c r="J76" i="4" s="1"/>
  <c r="I77" i="4"/>
  <c r="J77" i="4" s="1"/>
  <c r="Z77" i="4" s="1"/>
  <c r="I78" i="4"/>
  <c r="J78" i="4" s="1"/>
  <c r="I79" i="4"/>
  <c r="J79" i="4" s="1"/>
  <c r="I80" i="4"/>
  <c r="J80" i="4" s="1"/>
  <c r="I81" i="4"/>
  <c r="J81" i="4" s="1"/>
  <c r="Z81" i="4" s="1"/>
  <c r="I82" i="4"/>
  <c r="J82" i="4" s="1"/>
  <c r="I83" i="4"/>
  <c r="J83" i="4" s="1"/>
  <c r="I84" i="4"/>
  <c r="J84" i="4" s="1"/>
  <c r="I85" i="4"/>
  <c r="J85" i="4" s="1"/>
  <c r="I86" i="4"/>
  <c r="J86" i="4" s="1"/>
  <c r="I87" i="4"/>
  <c r="J87" i="4" s="1"/>
  <c r="I88" i="4"/>
  <c r="J88" i="4" s="1"/>
  <c r="I89" i="4"/>
  <c r="J89" i="4" s="1"/>
  <c r="Z89" i="4" s="1"/>
  <c r="I90" i="4"/>
  <c r="J90" i="4" s="1"/>
  <c r="I91" i="4"/>
  <c r="J91" i="4" s="1"/>
  <c r="I92" i="4"/>
  <c r="J92" i="4" s="1"/>
  <c r="I93" i="4"/>
  <c r="J93" i="4" s="1"/>
  <c r="Z93" i="4" s="1"/>
  <c r="I94" i="4"/>
  <c r="J94" i="4" s="1"/>
  <c r="I95" i="4"/>
  <c r="J95" i="4" s="1"/>
  <c r="I96" i="4"/>
  <c r="J96" i="4" s="1"/>
  <c r="I97" i="4"/>
  <c r="J97" i="4" s="1"/>
  <c r="I98" i="4"/>
  <c r="J98" i="4" s="1"/>
  <c r="I99" i="4"/>
  <c r="J99" i="4" s="1"/>
  <c r="I101" i="4"/>
  <c r="J101" i="4" s="1"/>
  <c r="I102" i="4"/>
  <c r="J102" i="4" s="1"/>
  <c r="Z102" i="4" s="1"/>
  <c r="I103" i="4"/>
  <c r="J103" i="4" s="1"/>
  <c r="I104" i="4"/>
  <c r="J104" i="4" s="1"/>
  <c r="I105" i="4"/>
  <c r="J105" i="4" s="1"/>
  <c r="I106" i="4"/>
  <c r="J106" i="4" s="1"/>
  <c r="I107" i="4"/>
  <c r="J107" i="4" s="1"/>
  <c r="I108" i="4"/>
  <c r="J108" i="4" s="1"/>
  <c r="I109" i="4"/>
  <c r="J109" i="4" s="1"/>
  <c r="I110" i="4"/>
  <c r="J110" i="4" s="1"/>
  <c r="I111" i="4"/>
  <c r="J111" i="4" s="1"/>
  <c r="I112" i="4"/>
  <c r="J112" i="4" s="1"/>
  <c r="I113" i="4"/>
  <c r="J113" i="4" s="1"/>
  <c r="I114" i="4"/>
  <c r="J114" i="4" s="1"/>
  <c r="I116" i="4"/>
  <c r="J116" i="4" s="1"/>
  <c r="I117" i="4"/>
  <c r="J117" i="4" s="1"/>
  <c r="I119" i="4"/>
  <c r="J119" i="4" s="1"/>
  <c r="I120" i="4"/>
  <c r="J120" i="4" s="1"/>
  <c r="Z120" i="4" s="1"/>
  <c r="I122" i="4"/>
  <c r="J122" i="4" s="1"/>
  <c r="I46" i="4"/>
  <c r="J46" i="4" s="1"/>
  <c r="I47" i="4"/>
  <c r="J47" i="4" s="1"/>
  <c r="I48" i="4"/>
  <c r="J48" i="4" s="1"/>
  <c r="I49" i="4"/>
  <c r="J49" i="4" s="1"/>
  <c r="I50" i="4"/>
  <c r="J50" i="4" s="1"/>
  <c r="I51" i="4"/>
  <c r="J51" i="4" s="1"/>
  <c r="I6" i="4"/>
  <c r="I7" i="4"/>
  <c r="J7" i="4" s="1"/>
  <c r="I8" i="4"/>
  <c r="J8" i="4" s="1"/>
  <c r="Z8" i="4" s="1"/>
  <c r="I9" i="4"/>
  <c r="J9" i="4" s="1"/>
  <c r="Z9" i="4" s="1"/>
  <c r="I11" i="4"/>
  <c r="J11" i="4" s="1"/>
  <c r="Z11" i="4" s="1"/>
  <c r="I12" i="4"/>
  <c r="J12" i="4" s="1"/>
  <c r="Z12" i="4" s="1"/>
  <c r="I13" i="4"/>
  <c r="J13" i="4" s="1"/>
  <c r="Z13" i="4" s="1"/>
  <c r="I14" i="4"/>
  <c r="J14" i="4" s="1"/>
  <c r="Z14" i="4" s="1"/>
  <c r="I15" i="4"/>
  <c r="J15" i="4" s="1"/>
  <c r="Z15" i="4" s="1"/>
  <c r="I16" i="4"/>
  <c r="J16" i="4" s="1"/>
  <c r="Z16" i="4" s="1"/>
  <c r="I17" i="4"/>
  <c r="J17" i="4" s="1"/>
  <c r="Z17" i="4" s="1"/>
  <c r="I18" i="4"/>
  <c r="J18" i="4" s="1"/>
  <c r="Z18" i="4" s="1"/>
  <c r="I19" i="4"/>
  <c r="J19" i="4" s="1"/>
  <c r="Z19" i="4" s="1"/>
  <c r="I20" i="4"/>
  <c r="J20" i="4" s="1"/>
  <c r="Z20" i="4" s="1"/>
  <c r="I21" i="4"/>
  <c r="J21" i="4" s="1"/>
  <c r="Z21" i="4" s="1"/>
  <c r="I22" i="4"/>
  <c r="J22" i="4" s="1"/>
  <c r="Z22" i="4" s="1"/>
  <c r="I23" i="4"/>
  <c r="J23" i="4" s="1"/>
  <c r="Z23" i="4" s="1"/>
  <c r="I24" i="4"/>
  <c r="J24" i="4" s="1"/>
  <c r="Z24" i="4" s="1"/>
  <c r="I25" i="4"/>
  <c r="J25" i="4" s="1"/>
  <c r="Z25" i="4" s="1"/>
  <c r="I26" i="4"/>
  <c r="J26" i="4" s="1"/>
  <c r="Z26" i="4" s="1"/>
  <c r="I27" i="4"/>
  <c r="J27" i="4" s="1"/>
  <c r="Z27" i="4" s="1"/>
  <c r="I28" i="4"/>
  <c r="J28" i="4" s="1"/>
  <c r="Z28" i="4" s="1"/>
  <c r="I29" i="4"/>
  <c r="J29" i="4" s="1"/>
  <c r="Z29" i="4" s="1"/>
  <c r="I30" i="4"/>
  <c r="J30" i="4" s="1"/>
  <c r="Z30" i="4" s="1"/>
  <c r="I31" i="4"/>
  <c r="J31" i="4" s="1"/>
  <c r="Z31" i="4" s="1"/>
  <c r="I32" i="4"/>
  <c r="J32" i="4" s="1"/>
  <c r="Z32" i="4" s="1"/>
  <c r="I33" i="4"/>
  <c r="J33" i="4" s="1"/>
  <c r="Z33" i="4" s="1"/>
  <c r="I34" i="4"/>
  <c r="J34" i="4" s="1"/>
  <c r="Z34" i="4" s="1"/>
  <c r="I35" i="4"/>
  <c r="J35" i="4" s="1"/>
  <c r="Z35" i="4" s="1"/>
  <c r="I36" i="4"/>
  <c r="J36" i="4" s="1"/>
  <c r="Z36" i="4" s="1"/>
  <c r="I37" i="4"/>
  <c r="J37" i="4" s="1"/>
  <c r="Z37" i="4" s="1"/>
  <c r="I38" i="4"/>
  <c r="J38" i="4" s="1"/>
  <c r="Z38" i="4" s="1"/>
  <c r="I39" i="4"/>
  <c r="J39" i="4" s="1"/>
  <c r="Z39" i="4" s="1"/>
  <c r="I40" i="4"/>
  <c r="J40" i="4" s="1"/>
  <c r="Z40" i="4" s="1"/>
  <c r="I41" i="4"/>
  <c r="J41" i="4" s="1"/>
  <c r="Z41" i="4" s="1"/>
  <c r="I42" i="4"/>
  <c r="J42" i="4" s="1"/>
  <c r="Z42" i="4" s="1"/>
  <c r="I43" i="4"/>
  <c r="J43" i="4" s="1"/>
  <c r="Z43" i="4" s="1"/>
  <c r="X140" i="4"/>
  <c r="Q141" i="4"/>
  <c r="Q137" i="4"/>
  <c r="J141" i="4"/>
  <c r="I137" i="4"/>
  <c r="J137" i="4" s="1"/>
  <c r="I139" i="4"/>
  <c r="J139" i="4" s="1"/>
  <c r="I140" i="4"/>
  <c r="J140" i="4" s="1"/>
  <c r="I138" i="4"/>
  <c r="J138" i="4" s="1"/>
  <c r="Q54" i="4"/>
  <c r="R54" i="4" s="1"/>
  <c r="Z54" i="4" s="1"/>
  <c r="X126" i="4"/>
  <c r="Y126" i="4" s="1"/>
  <c r="X127" i="4"/>
  <c r="Y127" i="4" s="1"/>
  <c r="X128" i="4"/>
  <c r="Y128" i="4" s="1"/>
  <c r="X125" i="4"/>
  <c r="Y125" i="4" s="1"/>
  <c r="L129" i="4"/>
  <c r="R126" i="4"/>
  <c r="R127" i="4"/>
  <c r="R128" i="4"/>
  <c r="R125" i="4"/>
  <c r="E129" i="4"/>
  <c r="J126" i="4"/>
  <c r="J127" i="4"/>
  <c r="J128" i="4"/>
  <c r="J125" i="4"/>
  <c r="Z112" i="4" l="1"/>
  <c r="Z95" i="4"/>
  <c r="Z63" i="4"/>
  <c r="Z116" i="4"/>
  <c r="Z85" i="4"/>
  <c r="Z79" i="4"/>
  <c r="Z61" i="4"/>
  <c r="Z111" i="4"/>
  <c r="Z128" i="4"/>
  <c r="J6" i="4"/>
  <c r="Z6" i="4" s="1"/>
  <c r="Z119" i="4"/>
  <c r="Z113" i="4"/>
  <c r="Z109" i="4"/>
  <c r="Z105" i="4"/>
  <c r="Z101" i="4"/>
  <c r="Z96" i="4"/>
  <c r="Z92" i="4"/>
  <c r="Z88" i="4"/>
  <c r="Z84" i="4"/>
  <c r="Z80" i="4"/>
  <c r="Z76" i="4"/>
  <c r="Z72" i="4"/>
  <c r="Z68" i="4"/>
  <c r="Z64" i="4"/>
  <c r="I32" i="7"/>
  <c r="X32" i="7" s="1"/>
  <c r="N91" i="7"/>
  <c r="G33" i="7"/>
  <c r="Z126" i="4"/>
  <c r="Z122" i="4"/>
  <c r="Z62" i="4"/>
  <c r="Z107" i="4"/>
  <c r="Z103" i="4"/>
  <c r="Z98" i="4"/>
  <c r="Z94" i="4"/>
  <c r="Z90" i="4"/>
  <c r="Z86" i="4"/>
  <c r="Z127" i="4"/>
  <c r="Z82" i="4"/>
  <c r="Z78" i="4"/>
  <c r="Z74" i="4"/>
  <c r="Z70" i="4"/>
  <c r="Z66" i="4"/>
  <c r="Z97" i="4"/>
  <c r="Z73" i="4"/>
  <c r="Z60" i="4"/>
  <c r="Z114" i="4"/>
  <c r="Z110" i="4"/>
  <c r="Z106" i="4"/>
  <c r="Z58" i="4"/>
  <c r="Z108" i="4"/>
  <c r="Z91" i="4"/>
  <c r="Z75" i="4"/>
  <c r="Z125" i="4"/>
  <c r="Z87" i="4"/>
  <c r="Z71" i="4"/>
  <c r="Z117" i="4"/>
  <c r="Z99" i="4"/>
  <c r="Z83" i="4"/>
  <c r="Z67" i="4"/>
  <c r="Z104" i="4"/>
  <c r="J129" i="4"/>
  <c r="Y129" i="4"/>
  <c r="E123" i="4"/>
  <c r="L123" i="4"/>
  <c r="L130" i="4" s="1"/>
  <c r="Q47" i="4"/>
  <c r="R47" i="4" s="1"/>
  <c r="Z47" i="4" s="1"/>
  <c r="Q48" i="4"/>
  <c r="R48" i="4" s="1"/>
  <c r="Z48" i="4" s="1"/>
  <c r="Q49" i="4"/>
  <c r="R49" i="4" s="1"/>
  <c r="Z49" i="4" s="1"/>
  <c r="Q50" i="4"/>
  <c r="R50" i="4" s="1"/>
  <c r="Z50" i="4" s="1"/>
  <c r="Q51" i="4"/>
  <c r="R51" i="4" s="1"/>
  <c r="Z51" i="4" s="1"/>
  <c r="Q52" i="4"/>
  <c r="R52" i="4" s="1"/>
  <c r="Z52" i="4" s="1"/>
  <c r="Q55" i="4"/>
  <c r="R55" i="4" s="1"/>
  <c r="Z55" i="4" s="1"/>
  <c r="Q56" i="4"/>
  <c r="R56" i="4" s="1"/>
  <c r="Z56" i="4" s="1"/>
  <c r="Q57" i="4"/>
  <c r="R57" i="4" s="1"/>
  <c r="Z57" i="4" s="1"/>
  <c r="Z129" i="4" l="1"/>
  <c r="I33" i="7"/>
  <c r="X33" i="7" s="1"/>
  <c r="N92" i="7"/>
  <c r="G34" i="7"/>
  <c r="Q46" i="4"/>
  <c r="R46" i="4" s="1"/>
  <c r="R123" i="4" s="1"/>
  <c r="I34" i="7" l="1"/>
  <c r="X34" i="7" s="1"/>
  <c r="N93" i="7"/>
  <c r="G35" i="7"/>
  <c r="J148" i="4"/>
  <c r="J149" i="4"/>
  <c r="J150" i="4"/>
  <c r="J151" i="4"/>
  <c r="J153" i="4"/>
  <c r="J154" i="4"/>
  <c r="J147" i="4"/>
  <c r="I10" i="4"/>
  <c r="J10" i="4" s="1"/>
  <c r="Z10" i="4" s="1"/>
  <c r="AK22" i="9" l="1"/>
  <c r="I35" i="7"/>
  <c r="X35" i="7" s="1"/>
  <c r="G36" i="7"/>
  <c r="N94" i="7"/>
  <c r="Z7" i="4"/>
  <c r="Z46" i="4"/>
  <c r="E44" i="4"/>
  <c r="E130" i="4" s="1"/>
  <c r="N22" i="9" l="1"/>
  <c r="I36" i="7"/>
  <c r="X36" i="7" s="1"/>
  <c r="N97" i="7"/>
  <c r="G37" i="7"/>
  <c r="Z123" i="4"/>
  <c r="Z44" i="4"/>
  <c r="J123" i="4"/>
  <c r="I37" i="7" l="1"/>
  <c r="X37" i="7" s="1"/>
  <c r="G38" i="7"/>
  <c r="N98" i="7"/>
  <c r="Z130" i="4"/>
  <c r="AA130" i="5" s="1"/>
  <c r="Y136" i="4"/>
  <c r="R136" i="4"/>
  <c r="F154" i="4"/>
  <c r="F153" i="4"/>
  <c r="F151" i="4"/>
  <c r="F150" i="4"/>
  <c r="F149" i="4"/>
  <c r="F148" i="4"/>
  <c r="F147" i="4"/>
  <c r="T142" i="4"/>
  <c r="L142" i="4"/>
  <c r="E142" i="4"/>
  <c r="T129" i="4"/>
  <c r="T130" i="4" s="1"/>
  <c r="I38" i="7" l="1"/>
  <c r="X38" i="7" s="1"/>
  <c r="N99" i="7"/>
  <c r="G39" i="7"/>
  <c r="R138" i="4"/>
  <c r="Z138" i="4" s="1"/>
  <c r="R141" i="4"/>
  <c r="Z141" i="4" s="1"/>
  <c r="R139" i="4"/>
  <c r="Z139" i="4" s="1"/>
  <c r="R140" i="4"/>
  <c r="R137" i="4"/>
  <c r="Z137" i="4" s="1"/>
  <c r="R142" i="4"/>
  <c r="Y140" i="4"/>
  <c r="Y142" i="4" s="1"/>
  <c r="J142" i="4"/>
  <c r="R129" i="4"/>
  <c r="Y130" i="4"/>
  <c r="I39" i="7" l="1"/>
  <c r="X39" i="7" s="1"/>
  <c r="N102" i="7"/>
  <c r="G40" i="7"/>
  <c r="Z140" i="4"/>
  <c r="Z142" i="4" s="1"/>
  <c r="AA142" i="5" s="1"/>
  <c r="J44" i="4"/>
  <c r="J130" i="4" s="1"/>
  <c r="R130" i="4"/>
  <c r="G141" i="2"/>
  <c r="G140" i="2"/>
  <c r="G135" i="2"/>
  <c r="G136" i="2"/>
  <c r="G137" i="2"/>
  <c r="G138" i="2"/>
  <c r="G134" i="2"/>
  <c r="I40" i="7" l="1"/>
  <c r="X40" i="7" s="1"/>
  <c r="G41" i="7"/>
  <c r="N105" i="7"/>
  <c r="J128" i="2"/>
  <c r="Q108" i="2"/>
  <c r="Q109" i="2"/>
  <c r="Q110" i="2"/>
  <c r="Q111" i="2"/>
  <c r="Q112" i="2"/>
  <c r="Q113" i="2"/>
  <c r="Q114" i="2"/>
  <c r="Q115" i="2"/>
  <c r="Q107" i="2"/>
  <c r="Q47" i="2"/>
  <c r="Q52" i="2"/>
  <c r="Q56" i="2"/>
  <c r="Q63" i="2"/>
  <c r="Q64" i="2"/>
  <c r="Q65" i="2"/>
  <c r="Q68" i="2"/>
  <c r="Q69" i="2"/>
  <c r="Q71" i="2"/>
  <c r="Q72" i="2"/>
  <c r="Q75" i="2"/>
  <c r="Q83" i="2"/>
  <c r="Q84" i="2"/>
  <c r="Q88" i="2"/>
  <c r="Q89" i="2"/>
  <c r="Q91" i="2"/>
  <c r="Q95" i="2"/>
  <c r="Q96" i="2"/>
  <c r="Q98" i="2"/>
  <c r="Q99" i="2"/>
  <c r="Q100" i="2"/>
  <c r="J108" i="2"/>
  <c r="J109" i="2"/>
  <c r="J110" i="2"/>
  <c r="J111" i="2"/>
  <c r="J112" i="2"/>
  <c r="J113" i="2"/>
  <c r="J114" i="2"/>
  <c r="J115" i="2"/>
  <c r="J107" i="2"/>
  <c r="J42" i="2"/>
  <c r="J43" i="2"/>
  <c r="J44" i="2"/>
  <c r="J45" i="2"/>
  <c r="J46" i="2"/>
  <c r="J48" i="2"/>
  <c r="J49" i="2"/>
  <c r="J50" i="2"/>
  <c r="J51" i="2"/>
  <c r="J53" i="2"/>
  <c r="J54" i="2"/>
  <c r="J55" i="2"/>
  <c r="J57" i="2"/>
  <c r="J58" i="2"/>
  <c r="J59" i="2"/>
  <c r="J60" i="2"/>
  <c r="J61" i="2"/>
  <c r="J62" i="2"/>
  <c r="J66" i="2"/>
  <c r="J67" i="2"/>
  <c r="J70" i="2"/>
  <c r="J73" i="2"/>
  <c r="J74" i="2"/>
  <c r="J76" i="2"/>
  <c r="J77" i="2"/>
  <c r="J78" i="2"/>
  <c r="J79" i="2"/>
  <c r="J80" i="2"/>
  <c r="J81" i="2"/>
  <c r="J82" i="2"/>
  <c r="J85" i="2"/>
  <c r="J86" i="2"/>
  <c r="J87" i="2"/>
  <c r="J90" i="2"/>
  <c r="J92" i="2"/>
  <c r="J93" i="2"/>
  <c r="J94" i="2"/>
  <c r="J97" i="2"/>
  <c r="J101" i="2"/>
  <c r="J102" i="2"/>
  <c r="J103" i="2"/>
  <c r="J104" i="2"/>
  <c r="J41" i="2"/>
  <c r="I41" i="7" l="1"/>
  <c r="X41" i="7" s="1"/>
  <c r="N106" i="7"/>
  <c r="G43" i="7"/>
  <c r="V113" i="2"/>
  <c r="W113" i="2" s="1"/>
  <c r="I43" i="7" l="1"/>
  <c r="X43" i="7" s="1"/>
  <c r="G44" i="7"/>
  <c r="N112" i="7"/>
  <c r="S116" i="2"/>
  <c r="S117" i="2" s="1"/>
  <c r="Q116" i="2"/>
  <c r="J116" i="2"/>
  <c r="P50" i="2"/>
  <c r="Q50" i="2" s="1"/>
  <c r="L105" i="2"/>
  <c r="K44" i="2"/>
  <c r="F129" i="2"/>
  <c r="S129" i="2"/>
  <c r="L129" i="2"/>
  <c r="V127" i="2"/>
  <c r="P128" i="2"/>
  <c r="Q128" i="2" s="1"/>
  <c r="X128" i="2" s="1"/>
  <c r="P124" i="2"/>
  <c r="Q124" i="2" s="1"/>
  <c r="I124" i="2"/>
  <c r="J124" i="2" s="1"/>
  <c r="I126" i="2"/>
  <c r="J126" i="2" s="1"/>
  <c r="X126" i="2" s="1"/>
  <c r="I127" i="2"/>
  <c r="J127" i="2" s="1"/>
  <c r="I125" i="2"/>
  <c r="J125" i="2" s="1"/>
  <c r="X125" i="2" s="1"/>
  <c r="Q129" i="2" l="1"/>
  <c r="J129" i="2"/>
  <c r="X124" i="2"/>
  <c r="W127" i="2"/>
  <c r="W129" i="2" s="1"/>
  <c r="I44" i="7"/>
  <c r="X44" i="7" s="1"/>
  <c r="N120" i="7"/>
  <c r="N113" i="7"/>
  <c r="G45" i="7"/>
  <c r="F105" i="2"/>
  <c r="F39" i="2"/>
  <c r="V107" i="2"/>
  <c r="W107" i="2" s="1"/>
  <c r="V108" i="2"/>
  <c r="W108" i="2" s="1"/>
  <c r="V109" i="2"/>
  <c r="W109" i="2" s="1"/>
  <c r="V110" i="2"/>
  <c r="W110" i="2" s="1"/>
  <c r="V111" i="2"/>
  <c r="W111" i="2" s="1"/>
  <c r="V112" i="2"/>
  <c r="W112" i="2" s="1"/>
  <c r="V114" i="2"/>
  <c r="W114" i="2" s="1"/>
  <c r="V115" i="2"/>
  <c r="W115" i="2" s="1"/>
  <c r="P42" i="2"/>
  <c r="Q42" i="2" s="1"/>
  <c r="P43" i="2"/>
  <c r="Q43" i="2" s="1"/>
  <c r="P44" i="2"/>
  <c r="Q44" i="2" s="1"/>
  <c r="P45" i="2"/>
  <c r="Q45" i="2" s="1"/>
  <c r="P46" i="2"/>
  <c r="Q46" i="2" s="1"/>
  <c r="P48" i="2"/>
  <c r="Q48" i="2" s="1"/>
  <c r="P49" i="2"/>
  <c r="Q49" i="2" s="1"/>
  <c r="P51" i="2"/>
  <c r="Q51" i="2" s="1"/>
  <c r="P53" i="2"/>
  <c r="Q53" i="2" s="1"/>
  <c r="P54" i="2"/>
  <c r="Q54" i="2" s="1"/>
  <c r="P55" i="2"/>
  <c r="Q55" i="2" s="1"/>
  <c r="P57" i="2"/>
  <c r="Q57" i="2" s="1"/>
  <c r="P58" i="2"/>
  <c r="Q58" i="2" s="1"/>
  <c r="P59" i="2"/>
  <c r="Q59" i="2" s="1"/>
  <c r="P60" i="2"/>
  <c r="Q60" i="2" s="1"/>
  <c r="P61" i="2"/>
  <c r="Q61" i="2" s="1"/>
  <c r="P62" i="2"/>
  <c r="Q62" i="2" s="1"/>
  <c r="P66" i="2"/>
  <c r="Q66" i="2" s="1"/>
  <c r="P67" i="2"/>
  <c r="Q67" i="2" s="1"/>
  <c r="P70" i="2"/>
  <c r="Q70" i="2" s="1"/>
  <c r="P73" i="2"/>
  <c r="Q73" i="2" s="1"/>
  <c r="P74" i="2"/>
  <c r="Q74" i="2" s="1"/>
  <c r="X74" i="2" s="1"/>
  <c r="P76" i="2"/>
  <c r="Q76" i="2" s="1"/>
  <c r="P77" i="2"/>
  <c r="Q77" i="2" s="1"/>
  <c r="P78" i="2"/>
  <c r="Q78" i="2" s="1"/>
  <c r="P79" i="2"/>
  <c r="Q79" i="2" s="1"/>
  <c r="P80" i="2"/>
  <c r="Q80" i="2" s="1"/>
  <c r="P81" i="2"/>
  <c r="Q81" i="2" s="1"/>
  <c r="P82" i="2"/>
  <c r="Q82" i="2" s="1"/>
  <c r="P85" i="2"/>
  <c r="Q85" i="2" s="1"/>
  <c r="P86" i="2"/>
  <c r="Q86" i="2" s="1"/>
  <c r="P87" i="2"/>
  <c r="Q87" i="2" s="1"/>
  <c r="P90" i="2"/>
  <c r="Q90" i="2" s="1"/>
  <c r="P92" i="2"/>
  <c r="Q92" i="2" s="1"/>
  <c r="P93" i="2"/>
  <c r="Q93" i="2" s="1"/>
  <c r="P94" i="2"/>
  <c r="Q94" i="2" s="1"/>
  <c r="X94" i="2" s="1"/>
  <c r="P97" i="2"/>
  <c r="Q97" i="2" s="1"/>
  <c r="P101" i="2"/>
  <c r="Q101" i="2" s="1"/>
  <c r="P102" i="2"/>
  <c r="Q102" i="2" s="1"/>
  <c r="X102" i="2" s="1"/>
  <c r="P103" i="2"/>
  <c r="Q103" i="2" s="1"/>
  <c r="X103" i="2" s="1"/>
  <c r="P104" i="2"/>
  <c r="Q104" i="2" s="1"/>
  <c r="P41" i="2"/>
  <c r="Q41" i="2" s="1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J38" i="2" s="1"/>
  <c r="X38" i="2" s="1"/>
  <c r="X43" i="2"/>
  <c r="I47" i="2"/>
  <c r="J47" i="2" s="1"/>
  <c r="I52" i="2"/>
  <c r="J52" i="2" s="1"/>
  <c r="I56" i="2"/>
  <c r="J56" i="2" s="1"/>
  <c r="I63" i="2"/>
  <c r="J63" i="2" s="1"/>
  <c r="I64" i="2"/>
  <c r="J64" i="2" s="1"/>
  <c r="I65" i="2"/>
  <c r="J65" i="2" s="1"/>
  <c r="I68" i="2"/>
  <c r="J68" i="2" s="1"/>
  <c r="I69" i="2"/>
  <c r="J69" i="2" s="1"/>
  <c r="I71" i="2"/>
  <c r="J71" i="2" s="1"/>
  <c r="I72" i="2"/>
  <c r="J72" i="2" s="1"/>
  <c r="I75" i="2"/>
  <c r="J75" i="2" s="1"/>
  <c r="I83" i="2"/>
  <c r="J83" i="2" s="1"/>
  <c r="I84" i="2"/>
  <c r="J84" i="2" s="1"/>
  <c r="I88" i="2"/>
  <c r="J88" i="2" s="1"/>
  <c r="I89" i="2"/>
  <c r="J89" i="2" s="1"/>
  <c r="I91" i="2"/>
  <c r="J91" i="2" s="1"/>
  <c r="I95" i="2"/>
  <c r="J95" i="2" s="1"/>
  <c r="I96" i="2"/>
  <c r="J96" i="2" s="1"/>
  <c r="I98" i="2"/>
  <c r="J98" i="2" s="1"/>
  <c r="I99" i="2"/>
  <c r="J99" i="2" s="1"/>
  <c r="I100" i="2"/>
  <c r="J100" i="2" s="1"/>
  <c r="I7" i="2"/>
  <c r="I6" i="2"/>
  <c r="W116" i="2" l="1"/>
  <c r="W117" i="2" s="1"/>
  <c r="J34" i="2"/>
  <c r="X34" i="2" s="1"/>
  <c r="J30" i="2"/>
  <c r="X30" i="2" s="1"/>
  <c r="J26" i="2"/>
  <c r="X26" i="2" s="1"/>
  <c r="J22" i="2"/>
  <c r="X22" i="2" s="1"/>
  <c r="J18" i="2"/>
  <c r="X18" i="2" s="1"/>
  <c r="J14" i="2"/>
  <c r="X14" i="2" s="1"/>
  <c r="J10" i="2"/>
  <c r="X10" i="2" s="1"/>
  <c r="J6" i="2"/>
  <c r="X6" i="2" s="1"/>
  <c r="J7" i="2"/>
  <c r="X7" i="2" s="1"/>
  <c r="J105" i="2"/>
  <c r="J37" i="2"/>
  <c r="X37" i="2" s="1"/>
  <c r="J33" i="2"/>
  <c r="X33" i="2" s="1"/>
  <c r="J29" i="2"/>
  <c r="X29" i="2" s="1"/>
  <c r="J25" i="2"/>
  <c r="X25" i="2" s="1"/>
  <c r="J21" i="2"/>
  <c r="X21" i="2" s="1"/>
  <c r="J17" i="2"/>
  <c r="X17" i="2" s="1"/>
  <c r="J13" i="2"/>
  <c r="X13" i="2" s="1"/>
  <c r="J9" i="2"/>
  <c r="X9" i="2" s="1"/>
  <c r="J36" i="2"/>
  <c r="X36" i="2" s="1"/>
  <c r="J32" i="2"/>
  <c r="X32" i="2" s="1"/>
  <c r="J28" i="2"/>
  <c r="X28" i="2" s="1"/>
  <c r="J24" i="2"/>
  <c r="X24" i="2" s="1"/>
  <c r="J20" i="2"/>
  <c r="X20" i="2" s="1"/>
  <c r="J16" i="2"/>
  <c r="X16" i="2" s="1"/>
  <c r="J12" i="2"/>
  <c r="X12" i="2" s="1"/>
  <c r="J8" i="2"/>
  <c r="X8" i="2" s="1"/>
  <c r="X127" i="2"/>
  <c r="X129" i="2" s="1"/>
  <c r="J35" i="2"/>
  <c r="X35" i="2" s="1"/>
  <c r="J31" i="2"/>
  <c r="X31" i="2" s="1"/>
  <c r="J27" i="2"/>
  <c r="X27" i="2" s="1"/>
  <c r="J23" i="2"/>
  <c r="X23" i="2" s="1"/>
  <c r="J19" i="2"/>
  <c r="X19" i="2" s="1"/>
  <c r="J15" i="2"/>
  <c r="X15" i="2" s="1"/>
  <c r="J11" i="2"/>
  <c r="X11" i="2" s="1"/>
  <c r="I45" i="7"/>
  <c r="X45" i="7" s="1"/>
  <c r="X46" i="7" s="1"/>
  <c r="G54" i="7"/>
  <c r="N121" i="7"/>
  <c r="Q105" i="2"/>
  <c r="Q117" i="2" s="1"/>
  <c r="X44" i="2"/>
  <c r="X110" i="2"/>
  <c r="X92" i="2"/>
  <c r="X84" i="2"/>
  <c r="X100" i="2"/>
  <c r="X46" i="2"/>
  <c r="X58" i="2"/>
  <c r="X54" i="2"/>
  <c r="X50" i="2"/>
  <c r="X90" i="2"/>
  <c r="X86" i="2"/>
  <c r="X114" i="2"/>
  <c r="X104" i="2"/>
  <c r="X73" i="2"/>
  <c r="X70" i="2"/>
  <c r="X66" i="2"/>
  <c r="X79" i="2"/>
  <c r="X67" i="2"/>
  <c r="X91" i="2"/>
  <c r="X42" i="2"/>
  <c r="X108" i="2"/>
  <c r="X82" i="2"/>
  <c r="X76" i="2"/>
  <c r="X56" i="2"/>
  <c r="X55" i="2"/>
  <c r="X63" i="2"/>
  <c r="X60" i="2"/>
  <c r="X98" i="2"/>
  <c r="X109" i="2"/>
  <c r="X113" i="2"/>
  <c r="X81" i="2"/>
  <c r="X99" i="2"/>
  <c r="X83" i="2"/>
  <c r="X75" i="2"/>
  <c r="X62" i="2"/>
  <c r="X51" i="2"/>
  <c r="X112" i="2"/>
  <c r="X96" i="2"/>
  <c r="X88" i="2"/>
  <c r="X80" i="2"/>
  <c r="X72" i="2"/>
  <c r="X64" i="2"/>
  <c r="X48" i="2"/>
  <c r="X97" i="2"/>
  <c r="X68" i="2"/>
  <c r="X57" i="2"/>
  <c r="X52" i="2"/>
  <c r="X87" i="2"/>
  <c r="X78" i="2"/>
  <c r="X65" i="2"/>
  <c r="X47" i="2"/>
  <c r="X93" i="2"/>
  <c r="X69" i="2"/>
  <c r="X45" i="2"/>
  <c r="X41" i="2"/>
  <c r="X107" i="2"/>
  <c r="X101" i="2"/>
  <c r="X89" i="2"/>
  <c r="X77" i="2"/>
  <c r="X115" i="2"/>
  <c r="X85" i="2"/>
  <c r="X53" i="2"/>
  <c r="X111" i="2"/>
  <c r="X59" i="2"/>
  <c r="X61" i="2"/>
  <c r="X49" i="2"/>
  <c r="X95" i="2"/>
  <c r="X71" i="2"/>
  <c r="J39" i="2" l="1"/>
  <c r="J117" i="2" s="1"/>
  <c r="X117" i="2" s="1"/>
  <c r="I54" i="7"/>
  <c r="X54" i="7" s="1"/>
  <c r="N128" i="7"/>
  <c r="G55" i="7"/>
  <c r="F116" i="2"/>
  <c r="F117" i="2" s="1"/>
  <c r="X105" i="2"/>
  <c r="X39" i="2" l="1"/>
  <c r="I55" i="7"/>
  <c r="X55" i="7" s="1"/>
  <c r="I46" i="7"/>
  <c r="N129" i="7"/>
  <c r="G62" i="7"/>
  <c r="I62" i="7" s="1"/>
  <c r="L117" i="2"/>
  <c r="X93" i="1"/>
  <c r="AI93" i="1"/>
  <c r="AJ93" i="1" s="1"/>
  <c r="L112" i="1"/>
  <c r="M112" i="1"/>
  <c r="N112" i="1"/>
  <c r="V112" i="1"/>
  <c r="W112" i="1"/>
  <c r="X112" i="1"/>
  <c r="X62" i="7" l="1"/>
  <c r="G66" i="7"/>
  <c r="N132" i="7"/>
  <c r="Y46" i="7"/>
  <c r="X116" i="2"/>
  <c r="N80" i="1"/>
  <c r="I66" i="7" l="1"/>
  <c r="X66" i="7" s="1"/>
  <c r="G78" i="7"/>
  <c r="N133" i="7"/>
  <c r="Y112" i="1"/>
  <c r="P100" i="1"/>
  <c r="AC102" i="1"/>
  <c r="J6" i="1"/>
  <c r="L6" i="1" s="1"/>
  <c r="J7" i="1"/>
  <c r="J8" i="1"/>
  <c r="L8" i="1" s="1"/>
  <c r="J9" i="1"/>
  <c r="L9" i="1" s="1"/>
  <c r="J10" i="1"/>
  <c r="L10" i="1" s="1"/>
  <c r="J11" i="1"/>
  <c r="L11" i="1" s="1"/>
  <c r="J12" i="1"/>
  <c r="L12" i="1" s="1"/>
  <c r="J13" i="1"/>
  <c r="L13" i="1" s="1"/>
  <c r="J14" i="1"/>
  <c r="J15" i="1"/>
  <c r="L15" i="1" s="1"/>
  <c r="J16" i="1"/>
  <c r="L16" i="1" s="1"/>
  <c r="J17" i="1"/>
  <c r="L17" i="1" s="1"/>
  <c r="J18" i="1"/>
  <c r="L18" i="1" s="1"/>
  <c r="J19" i="1"/>
  <c r="L19" i="1" s="1"/>
  <c r="J20" i="1"/>
  <c r="L20" i="1" s="1"/>
  <c r="J21" i="1"/>
  <c r="J22" i="1"/>
  <c r="L22" i="1" s="1"/>
  <c r="J23" i="1"/>
  <c r="L23" i="1" s="1"/>
  <c r="J24" i="1"/>
  <c r="L24" i="1" s="1"/>
  <c r="J25" i="1"/>
  <c r="J26" i="1"/>
  <c r="L26" i="1" s="1"/>
  <c r="J27" i="1"/>
  <c r="L27" i="1" s="1"/>
  <c r="J28" i="1"/>
  <c r="L28" i="1" s="1"/>
  <c r="J29" i="1"/>
  <c r="L29" i="1" s="1"/>
  <c r="J30" i="1"/>
  <c r="L30" i="1" s="1"/>
  <c r="J31" i="1"/>
  <c r="L31" i="1" s="1"/>
  <c r="J32" i="1"/>
  <c r="L32" i="1" s="1"/>
  <c r="J33" i="1"/>
  <c r="L33" i="1" s="1"/>
  <c r="J34" i="1"/>
  <c r="K34" i="1" s="1"/>
  <c r="AH34" i="1" s="1"/>
  <c r="J35" i="1"/>
  <c r="L35" i="1" s="1"/>
  <c r="J36" i="1"/>
  <c r="L36" i="1" s="1"/>
  <c r="J37" i="1"/>
  <c r="L37" i="1" s="1"/>
  <c r="E38" i="1"/>
  <c r="F38" i="1"/>
  <c r="G38" i="1"/>
  <c r="T40" i="1"/>
  <c r="T41" i="1"/>
  <c r="T42" i="1"/>
  <c r="O43" i="1"/>
  <c r="O100" i="1" s="1"/>
  <c r="T43" i="1"/>
  <c r="T44" i="1"/>
  <c r="T45" i="1"/>
  <c r="J46" i="1"/>
  <c r="T47" i="1"/>
  <c r="T48" i="1"/>
  <c r="T49" i="1"/>
  <c r="T50" i="1"/>
  <c r="J51" i="1"/>
  <c r="T52" i="1"/>
  <c r="T53" i="1"/>
  <c r="T54" i="1"/>
  <c r="J55" i="1"/>
  <c r="T56" i="1"/>
  <c r="T57" i="1"/>
  <c r="U57" i="1" s="1"/>
  <c r="AH57" i="1" s="1"/>
  <c r="T58" i="1"/>
  <c r="T59" i="1"/>
  <c r="T60" i="1"/>
  <c r="T61" i="1"/>
  <c r="J62" i="1"/>
  <c r="J63" i="1"/>
  <c r="J64" i="1"/>
  <c r="T65" i="1"/>
  <c r="T66" i="1"/>
  <c r="J67" i="1"/>
  <c r="J68" i="1"/>
  <c r="T69" i="1"/>
  <c r="J70" i="1"/>
  <c r="J71" i="1"/>
  <c r="T72" i="1"/>
  <c r="T73" i="1"/>
  <c r="J74" i="1"/>
  <c r="T75" i="1"/>
  <c r="T76" i="1"/>
  <c r="T77" i="1"/>
  <c r="T78" i="1"/>
  <c r="T79" i="1"/>
  <c r="T80" i="1"/>
  <c r="J81" i="1"/>
  <c r="J82" i="1"/>
  <c r="T83" i="1"/>
  <c r="T84" i="1"/>
  <c r="T85" i="1"/>
  <c r="J86" i="1"/>
  <c r="J87" i="1"/>
  <c r="T88" i="1"/>
  <c r="J89" i="1"/>
  <c r="J90" i="1"/>
  <c r="AJ90" i="1" s="1"/>
  <c r="T91" i="1"/>
  <c r="T92" i="1"/>
  <c r="AH93" i="1"/>
  <c r="AK93" i="1" s="1"/>
  <c r="J94" i="1"/>
  <c r="T95" i="1"/>
  <c r="AI95" i="1" s="1"/>
  <c r="J96" i="1"/>
  <c r="J97" i="1"/>
  <c r="J98" i="1"/>
  <c r="T99" i="1"/>
  <c r="E100" i="1"/>
  <c r="F100" i="1"/>
  <c r="G100" i="1"/>
  <c r="I100" i="1"/>
  <c r="Y100" i="1"/>
  <c r="Z100" i="1"/>
  <c r="AC103" i="1"/>
  <c r="AC104" i="1"/>
  <c r="AC105" i="1"/>
  <c r="AC106" i="1"/>
  <c r="AC107" i="1"/>
  <c r="AC108" i="1"/>
  <c r="AC109" i="1"/>
  <c r="AC110" i="1"/>
  <c r="AC111" i="1"/>
  <c r="E112" i="1"/>
  <c r="F112" i="1"/>
  <c r="G112" i="1"/>
  <c r="H112" i="1"/>
  <c r="I112" i="1"/>
  <c r="J112" i="1"/>
  <c r="K112" i="1"/>
  <c r="O112" i="1"/>
  <c r="P112" i="1"/>
  <c r="Q112" i="1"/>
  <c r="Q113" i="1" s="1"/>
  <c r="R112" i="1"/>
  <c r="R113" i="1" s="1"/>
  <c r="S112" i="1"/>
  <c r="S113" i="1" s="1"/>
  <c r="T112" i="1"/>
  <c r="U112" i="1"/>
  <c r="Z112" i="1"/>
  <c r="I78" i="7" l="1"/>
  <c r="X78" i="7" s="1"/>
  <c r="N134" i="7"/>
  <c r="G79" i="7"/>
  <c r="AI97" i="1"/>
  <c r="AJ97" i="1" s="1"/>
  <c r="L97" i="1"/>
  <c r="AI89" i="1"/>
  <c r="AJ89" i="1" s="1"/>
  <c r="L89" i="1"/>
  <c r="U85" i="1"/>
  <c r="AH85" i="1" s="1"/>
  <c r="W85" i="1"/>
  <c r="AI85" i="1"/>
  <c r="AJ85" i="1" s="1"/>
  <c r="V85" i="1"/>
  <c r="M82" i="1"/>
  <c r="AI82" i="1"/>
  <c r="AJ82" i="1" s="1"/>
  <c r="L82" i="1"/>
  <c r="U78" i="1"/>
  <c r="AH78" i="1" s="1"/>
  <c r="AI78" i="1"/>
  <c r="AJ78" i="1" s="1"/>
  <c r="W78" i="1"/>
  <c r="V78" i="1"/>
  <c r="AI74" i="1"/>
  <c r="AJ74" i="1" s="1"/>
  <c r="L74" i="1"/>
  <c r="M70" i="1"/>
  <c r="AI70" i="1"/>
  <c r="AJ70" i="1" s="1"/>
  <c r="L70" i="1"/>
  <c r="U66" i="1"/>
  <c r="AH66" i="1" s="1"/>
  <c r="AI66" i="1"/>
  <c r="AJ66" i="1" s="1"/>
  <c r="V66" i="1"/>
  <c r="W66" i="1"/>
  <c r="AI62" i="1"/>
  <c r="AJ62" i="1" s="1"/>
  <c r="L62" i="1"/>
  <c r="U58" i="1"/>
  <c r="AH58" i="1" s="1"/>
  <c r="AI58" i="1"/>
  <c r="AJ58" i="1" s="1"/>
  <c r="V58" i="1"/>
  <c r="W58" i="1"/>
  <c r="AI55" i="1"/>
  <c r="AJ55" i="1" s="1"/>
  <c r="L55" i="1"/>
  <c r="AI51" i="1"/>
  <c r="AJ51" i="1" s="1"/>
  <c r="L51" i="1"/>
  <c r="U47" i="1"/>
  <c r="AH47" i="1" s="1"/>
  <c r="AI47" i="1"/>
  <c r="AJ47" i="1" s="1"/>
  <c r="W47" i="1"/>
  <c r="V47" i="1"/>
  <c r="U43" i="1"/>
  <c r="AH43" i="1" s="1"/>
  <c r="AI43" i="1"/>
  <c r="AJ43" i="1" s="1"/>
  <c r="V43" i="1"/>
  <c r="W43" i="1"/>
  <c r="U40" i="1"/>
  <c r="AH40" i="1" s="1"/>
  <c r="AI40" i="1"/>
  <c r="AJ40" i="1" s="1"/>
  <c r="V40" i="1"/>
  <c r="W40" i="1"/>
  <c r="AJ31" i="1"/>
  <c r="AI31" i="1"/>
  <c r="AI27" i="1"/>
  <c r="AJ27" i="1"/>
  <c r="AJ23" i="1"/>
  <c r="AI23" i="1"/>
  <c r="AI18" i="1"/>
  <c r="AJ18" i="1"/>
  <c r="AJ12" i="1"/>
  <c r="AI12" i="1"/>
  <c r="AJ8" i="1"/>
  <c r="AI8" i="1"/>
  <c r="P113" i="1"/>
  <c r="AD107" i="1"/>
  <c r="AH107" i="1" s="1"/>
  <c r="AE107" i="1"/>
  <c r="AF107" i="1"/>
  <c r="AD110" i="1"/>
  <c r="AH110" i="1" s="1"/>
  <c r="AE110" i="1"/>
  <c r="AF110" i="1"/>
  <c r="AD106" i="1"/>
  <c r="AH106" i="1" s="1"/>
  <c r="AE106" i="1"/>
  <c r="AF106" i="1"/>
  <c r="AI96" i="1"/>
  <c r="AJ96" i="1" s="1"/>
  <c r="L96" i="1"/>
  <c r="U92" i="1"/>
  <c r="AH92" i="1" s="1"/>
  <c r="AI92" i="1"/>
  <c r="AJ92" i="1" s="1"/>
  <c r="V92" i="1"/>
  <c r="W92" i="1"/>
  <c r="U88" i="1"/>
  <c r="AH88" i="1" s="1"/>
  <c r="AI88" i="1"/>
  <c r="AJ88" i="1" s="1"/>
  <c r="V88" i="1"/>
  <c r="W88" i="1"/>
  <c r="U84" i="1"/>
  <c r="AH84" i="1" s="1"/>
  <c r="AI84" i="1"/>
  <c r="AJ84" i="1" s="1"/>
  <c r="V84" i="1"/>
  <c r="W84" i="1"/>
  <c r="AI81" i="1"/>
  <c r="AJ81" i="1" s="1"/>
  <c r="L81" i="1"/>
  <c r="U77" i="1"/>
  <c r="AH77" i="1" s="1"/>
  <c r="AI77" i="1"/>
  <c r="AJ77" i="1" s="1"/>
  <c r="W77" i="1"/>
  <c r="V77" i="1"/>
  <c r="U73" i="1"/>
  <c r="AH73" i="1" s="1"/>
  <c r="AI73" i="1"/>
  <c r="AJ73" i="1" s="1"/>
  <c r="V73" i="1"/>
  <c r="W73" i="1"/>
  <c r="W69" i="1"/>
  <c r="AJ69" i="1"/>
  <c r="U69" i="1"/>
  <c r="AI69" i="1"/>
  <c r="V69" i="1"/>
  <c r="U65" i="1"/>
  <c r="AH65" i="1" s="1"/>
  <c r="AI65" i="1"/>
  <c r="AJ65" i="1" s="1"/>
  <c r="V65" i="1"/>
  <c r="W65" i="1"/>
  <c r="U61" i="1"/>
  <c r="AH61" i="1" s="1"/>
  <c r="AI61" i="1"/>
  <c r="AJ61" i="1" s="1"/>
  <c r="V61" i="1"/>
  <c r="W61" i="1"/>
  <c r="U54" i="1"/>
  <c r="AH54" i="1" s="1"/>
  <c r="AI54" i="1"/>
  <c r="AJ54" i="1" s="1"/>
  <c r="W54" i="1"/>
  <c r="V54" i="1"/>
  <c r="U50" i="1"/>
  <c r="AH50" i="1" s="1"/>
  <c r="AI50" i="1"/>
  <c r="AJ50" i="1" s="1"/>
  <c r="V50" i="1"/>
  <c r="W50" i="1"/>
  <c r="AI46" i="1"/>
  <c r="AJ46" i="1" s="1"/>
  <c r="L46" i="1"/>
  <c r="AJ37" i="1"/>
  <c r="AI37" i="1"/>
  <c r="M34" i="1"/>
  <c r="L34" i="1"/>
  <c r="AI30" i="1"/>
  <c r="AJ30" i="1"/>
  <c r="AI26" i="1"/>
  <c r="AJ26" i="1"/>
  <c r="AI22" i="1"/>
  <c r="AJ22" i="1"/>
  <c r="M21" i="1"/>
  <c r="L21" i="1"/>
  <c r="AI17" i="1"/>
  <c r="AJ17" i="1"/>
  <c r="AI11" i="1"/>
  <c r="AJ11" i="1"/>
  <c r="M7" i="1"/>
  <c r="L7" i="1"/>
  <c r="AD111" i="1"/>
  <c r="AH111" i="1" s="1"/>
  <c r="AF111" i="1"/>
  <c r="AE111" i="1"/>
  <c r="AD109" i="1"/>
  <c r="AH109" i="1" s="1"/>
  <c r="AE109" i="1"/>
  <c r="AF109" i="1"/>
  <c r="AD105" i="1"/>
  <c r="AH105" i="1" s="1"/>
  <c r="AE105" i="1"/>
  <c r="AF105" i="1"/>
  <c r="U91" i="1"/>
  <c r="AH91" i="1" s="1"/>
  <c r="AI91" i="1"/>
  <c r="AJ91" i="1" s="1"/>
  <c r="W91" i="1"/>
  <c r="V91" i="1"/>
  <c r="AI87" i="1"/>
  <c r="AJ87" i="1" s="1"/>
  <c r="L87" i="1"/>
  <c r="U83" i="1"/>
  <c r="AH83" i="1" s="1"/>
  <c r="AI83" i="1"/>
  <c r="AJ83" i="1" s="1"/>
  <c r="W83" i="1"/>
  <c r="V83" i="1"/>
  <c r="U80" i="1"/>
  <c r="AH80" i="1" s="1"/>
  <c r="AI80" i="1"/>
  <c r="AJ80" i="1" s="1"/>
  <c r="W80" i="1"/>
  <c r="V80" i="1"/>
  <c r="U76" i="1"/>
  <c r="AH76" i="1" s="1"/>
  <c r="AI76" i="1"/>
  <c r="AJ76" i="1" s="1"/>
  <c r="V76" i="1"/>
  <c r="W76" i="1"/>
  <c r="U72" i="1"/>
  <c r="AH72" i="1" s="1"/>
  <c r="AI72" i="1"/>
  <c r="AJ72" i="1" s="1"/>
  <c r="V72" i="1"/>
  <c r="W72" i="1"/>
  <c r="AI68" i="1"/>
  <c r="AJ68" i="1" s="1"/>
  <c r="L68" i="1"/>
  <c r="AI64" i="1"/>
  <c r="AJ64" i="1" s="1"/>
  <c r="L64" i="1"/>
  <c r="U60" i="1"/>
  <c r="AH60" i="1" s="1"/>
  <c r="AI60" i="1"/>
  <c r="AJ60" i="1" s="1"/>
  <c r="W60" i="1"/>
  <c r="V60" i="1"/>
  <c r="AI57" i="1"/>
  <c r="AJ57" i="1" s="1"/>
  <c r="AK57" i="1" s="1"/>
  <c r="W57" i="1"/>
  <c r="V57" i="1"/>
  <c r="U53" i="1"/>
  <c r="AH53" i="1" s="1"/>
  <c r="AI53" i="1"/>
  <c r="AJ53" i="1" s="1"/>
  <c r="V53" i="1"/>
  <c r="W53" i="1"/>
  <c r="U49" i="1"/>
  <c r="AH49" i="1" s="1"/>
  <c r="AI49" i="1"/>
  <c r="AJ49" i="1" s="1"/>
  <c r="W49" i="1"/>
  <c r="V49" i="1"/>
  <c r="U45" i="1"/>
  <c r="AH45" i="1" s="1"/>
  <c r="AI45" i="1"/>
  <c r="AJ45" i="1" s="1"/>
  <c r="V45" i="1"/>
  <c r="W45" i="1"/>
  <c r="U42" i="1"/>
  <c r="AH42" i="1" s="1"/>
  <c r="AI42" i="1"/>
  <c r="AJ42" i="1" s="1"/>
  <c r="W42" i="1"/>
  <c r="V42" i="1"/>
  <c r="AI36" i="1"/>
  <c r="AJ36" i="1"/>
  <c r="AI33" i="1"/>
  <c r="AJ33" i="1"/>
  <c r="AI29" i="1"/>
  <c r="AJ29" i="1"/>
  <c r="M25" i="1"/>
  <c r="L25" i="1"/>
  <c r="AI20" i="1"/>
  <c r="AJ20" i="1"/>
  <c r="AI16" i="1"/>
  <c r="AJ16" i="1"/>
  <c r="M14" i="1"/>
  <c r="L14" i="1"/>
  <c r="AJ10" i="1"/>
  <c r="AI10" i="1"/>
  <c r="AI6" i="1"/>
  <c r="AJ6" i="1"/>
  <c r="AD103" i="1"/>
  <c r="AH103" i="1" s="1"/>
  <c r="AF103" i="1"/>
  <c r="AE103" i="1"/>
  <c r="AD108" i="1"/>
  <c r="AH108" i="1" s="1"/>
  <c r="AF108" i="1"/>
  <c r="AE108" i="1"/>
  <c r="AD104" i="1"/>
  <c r="AH104" i="1" s="1"/>
  <c r="AE104" i="1"/>
  <c r="AF104" i="1"/>
  <c r="M98" i="1"/>
  <c r="AI98" i="1"/>
  <c r="AJ98" i="1" s="1"/>
  <c r="L98" i="1"/>
  <c r="AI94" i="1"/>
  <c r="AJ94" i="1" s="1"/>
  <c r="L94" i="1"/>
  <c r="AI86" i="1"/>
  <c r="AJ86" i="1" s="1"/>
  <c r="L86" i="1"/>
  <c r="U79" i="1"/>
  <c r="AH79" i="1" s="1"/>
  <c r="AI79" i="1"/>
  <c r="AJ79" i="1" s="1"/>
  <c r="W79" i="1"/>
  <c r="V79" i="1"/>
  <c r="U75" i="1"/>
  <c r="AH75" i="1" s="1"/>
  <c r="AI75" i="1"/>
  <c r="AJ75" i="1" s="1"/>
  <c r="V75" i="1"/>
  <c r="W75" i="1"/>
  <c r="AI71" i="1"/>
  <c r="AJ71" i="1" s="1"/>
  <c r="L71" i="1"/>
  <c r="AI67" i="1"/>
  <c r="AJ67" i="1" s="1"/>
  <c r="L67" i="1"/>
  <c r="AI63" i="1"/>
  <c r="AJ63" i="1" s="1"/>
  <c r="L63" i="1"/>
  <c r="U59" i="1"/>
  <c r="AH59" i="1" s="1"/>
  <c r="AI59" i="1"/>
  <c r="AJ59" i="1" s="1"/>
  <c r="W59" i="1"/>
  <c r="V59" i="1"/>
  <c r="U56" i="1"/>
  <c r="AH56" i="1" s="1"/>
  <c r="AI56" i="1"/>
  <c r="AJ56" i="1" s="1"/>
  <c r="V56" i="1"/>
  <c r="W56" i="1"/>
  <c r="U52" i="1"/>
  <c r="AH52" i="1" s="1"/>
  <c r="AI52" i="1"/>
  <c r="AJ52" i="1" s="1"/>
  <c r="W52" i="1"/>
  <c r="V52" i="1"/>
  <c r="U48" i="1"/>
  <c r="AH48" i="1" s="1"/>
  <c r="AI48" i="1"/>
  <c r="AJ48" i="1" s="1"/>
  <c r="V48" i="1"/>
  <c r="W48" i="1"/>
  <c r="U44" i="1"/>
  <c r="AH44" i="1" s="1"/>
  <c r="AI44" i="1"/>
  <c r="AJ44" i="1" s="1"/>
  <c r="W44" i="1"/>
  <c r="V44" i="1"/>
  <c r="U41" i="1"/>
  <c r="AH41" i="1" s="1"/>
  <c r="AI41" i="1"/>
  <c r="AJ41" i="1" s="1"/>
  <c r="V41" i="1"/>
  <c r="W41" i="1"/>
  <c r="AI35" i="1"/>
  <c r="AJ35" i="1"/>
  <c r="AI32" i="1"/>
  <c r="AJ32" i="1"/>
  <c r="AI28" i="1"/>
  <c r="AJ28" i="1"/>
  <c r="AI24" i="1"/>
  <c r="AJ24" i="1"/>
  <c r="AJ19" i="1"/>
  <c r="AI19" i="1"/>
  <c r="AI15" i="1"/>
  <c r="AJ15" i="1"/>
  <c r="AJ13" i="1"/>
  <c r="AI13" i="1"/>
  <c r="AI9" i="1"/>
  <c r="AJ9" i="1"/>
  <c r="AD102" i="1"/>
  <c r="AH102" i="1" s="1"/>
  <c r="AF102" i="1"/>
  <c r="AE102" i="1"/>
  <c r="U99" i="1"/>
  <c r="AH99" i="1" s="1"/>
  <c r="AJ99" i="1"/>
  <c r="W99" i="1"/>
  <c r="U95" i="1"/>
  <c r="AH95" i="1" s="1"/>
  <c r="W95" i="1"/>
  <c r="V95" i="1"/>
  <c r="Y113" i="1"/>
  <c r="K82" i="1"/>
  <c r="AH82" i="1" s="1"/>
  <c r="F113" i="1"/>
  <c r="Z113" i="1"/>
  <c r="E113" i="1"/>
  <c r="K98" i="1"/>
  <c r="AH98" i="1" s="1"/>
  <c r="K14" i="1"/>
  <c r="AH14" i="1" s="1"/>
  <c r="K7" i="1"/>
  <c r="AH7" i="1" s="1"/>
  <c r="K70" i="1"/>
  <c r="AH70" i="1" s="1"/>
  <c r="K68" i="1"/>
  <c r="AH68" i="1" s="1"/>
  <c r="M68" i="1"/>
  <c r="K97" i="1"/>
  <c r="AH97" i="1" s="1"/>
  <c r="M97" i="1"/>
  <c r="K94" i="1"/>
  <c r="AH94" i="1" s="1"/>
  <c r="M94" i="1"/>
  <c r="M90" i="1"/>
  <c r="K90" i="1"/>
  <c r="AH90" i="1" s="1"/>
  <c r="AK90" i="1" s="1"/>
  <c r="K67" i="1"/>
  <c r="AH67" i="1" s="1"/>
  <c r="M67" i="1"/>
  <c r="K64" i="1"/>
  <c r="AH64" i="1" s="1"/>
  <c r="M64" i="1"/>
  <c r="K51" i="1"/>
  <c r="AH51" i="1" s="1"/>
  <c r="M51" i="1"/>
  <c r="K37" i="1"/>
  <c r="AH37" i="1" s="1"/>
  <c r="M37" i="1"/>
  <c r="K30" i="1"/>
  <c r="AH30" i="1" s="1"/>
  <c r="M30" i="1"/>
  <c r="K26" i="1"/>
  <c r="AH26" i="1" s="1"/>
  <c r="M26" i="1"/>
  <c r="K23" i="1"/>
  <c r="AH23" i="1" s="1"/>
  <c r="M23" i="1"/>
  <c r="K19" i="1"/>
  <c r="AH19" i="1" s="1"/>
  <c r="M19" i="1"/>
  <c r="K15" i="1"/>
  <c r="AH15" i="1" s="1"/>
  <c r="M15" i="1"/>
  <c r="K10" i="1"/>
  <c r="AH10" i="1" s="1"/>
  <c r="M10" i="1"/>
  <c r="K96" i="1"/>
  <c r="AH96" i="1" s="1"/>
  <c r="M96" i="1"/>
  <c r="K89" i="1"/>
  <c r="AH89" i="1" s="1"/>
  <c r="M89" i="1"/>
  <c r="K86" i="1"/>
  <c r="AH86" i="1" s="1"/>
  <c r="M86" i="1"/>
  <c r="K63" i="1"/>
  <c r="AH63" i="1" s="1"/>
  <c r="M63" i="1"/>
  <c r="K36" i="1"/>
  <c r="AH36" i="1" s="1"/>
  <c r="M36" i="1"/>
  <c r="K33" i="1"/>
  <c r="AH33" i="1" s="1"/>
  <c r="M33" i="1"/>
  <c r="K29" i="1"/>
  <c r="AH29" i="1" s="1"/>
  <c r="M29" i="1"/>
  <c r="K25" i="1"/>
  <c r="AH25" i="1" s="1"/>
  <c r="K22" i="1"/>
  <c r="AH22" i="1" s="1"/>
  <c r="M22" i="1"/>
  <c r="K21" i="1"/>
  <c r="AH21" i="1" s="1"/>
  <c r="K18" i="1"/>
  <c r="AH18" i="1" s="1"/>
  <c r="M18" i="1"/>
  <c r="K13" i="1"/>
  <c r="AH13" i="1" s="1"/>
  <c r="M13" i="1"/>
  <c r="K9" i="1"/>
  <c r="AH9" i="1" s="1"/>
  <c r="M9" i="1"/>
  <c r="K6" i="1"/>
  <c r="M6" i="1"/>
  <c r="K81" i="1"/>
  <c r="AH81" i="1" s="1"/>
  <c r="M81" i="1"/>
  <c r="K74" i="1"/>
  <c r="AH74" i="1" s="1"/>
  <c r="M74" i="1"/>
  <c r="K71" i="1"/>
  <c r="AH71" i="1" s="1"/>
  <c r="M71" i="1"/>
  <c r="K62" i="1"/>
  <c r="AH62" i="1" s="1"/>
  <c r="M62" i="1"/>
  <c r="K55" i="1"/>
  <c r="AH55" i="1" s="1"/>
  <c r="M55" i="1"/>
  <c r="K46" i="1"/>
  <c r="AH46" i="1" s="1"/>
  <c r="M46" i="1"/>
  <c r="K35" i="1"/>
  <c r="AH35" i="1" s="1"/>
  <c r="M35" i="1"/>
  <c r="K32" i="1"/>
  <c r="AH32" i="1" s="1"/>
  <c r="M32" i="1"/>
  <c r="K28" i="1"/>
  <c r="AH28" i="1" s="1"/>
  <c r="M28" i="1"/>
  <c r="K17" i="1"/>
  <c r="AH17" i="1" s="1"/>
  <c r="M17" i="1"/>
  <c r="K12" i="1"/>
  <c r="AH12" i="1" s="1"/>
  <c r="M12" i="1"/>
  <c r="K8" i="1"/>
  <c r="AH8" i="1" s="1"/>
  <c r="M8" i="1"/>
  <c r="K31" i="1"/>
  <c r="AH31" i="1" s="1"/>
  <c r="M31" i="1"/>
  <c r="K27" i="1"/>
  <c r="AH27" i="1" s="1"/>
  <c r="M27" i="1"/>
  <c r="K24" i="1"/>
  <c r="AH24" i="1" s="1"/>
  <c r="M24" i="1"/>
  <c r="K20" i="1"/>
  <c r="AH20" i="1" s="1"/>
  <c r="M20" i="1"/>
  <c r="K16" i="1"/>
  <c r="AH16" i="1" s="1"/>
  <c r="M16" i="1"/>
  <c r="K11" i="1"/>
  <c r="AH11" i="1" s="1"/>
  <c r="M11" i="1"/>
  <c r="O113" i="1"/>
  <c r="K87" i="1"/>
  <c r="AH87" i="1" s="1"/>
  <c r="M87" i="1"/>
  <c r="G113" i="1"/>
  <c r="T100" i="1"/>
  <c r="T113" i="1" s="1"/>
  <c r="AD100" i="1"/>
  <c r="I79" i="7" l="1"/>
  <c r="X79" i="7" s="1"/>
  <c r="N135" i="7"/>
  <c r="G81" i="7"/>
  <c r="N26" i="1"/>
  <c r="N37" i="1"/>
  <c r="AH112" i="1"/>
  <c r="N16" i="1"/>
  <c r="N24" i="1"/>
  <c r="N31" i="1"/>
  <c r="N8" i="1"/>
  <c r="N17" i="1"/>
  <c r="N32" i="1"/>
  <c r="N13" i="1"/>
  <c r="N29" i="1"/>
  <c r="N36" i="1"/>
  <c r="U100" i="1"/>
  <c r="U113" i="1" s="1"/>
  <c r="N22" i="1"/>
  <c r="N15" i="1"/>
  <c r="L114" i="1"/>
  <c r="AK50" i="1"/>
  <c r="AK54" i="1"/>
  <c r="AK61" i="1"/>
  <c r="AK65" i="1"/>
  <c r="X47" i="1"/>
  <c r="L38" i="1"/>
  <c r="AD112" i="1"/>
  <c r="AD113" i="1" s="1"/>
  <c r="N11" i="1"/>
  <c r="N20" i="1"/>
  <c r="N27" i="1"/>
  <c r="N12" i="1"/>
  <c r="N28" i="1"/>
  <c r="N35" i="1"/>
  <c r="N9" i="1"/>
  <c r="N18" i="1"/>
  <c r="N33" i="1"/>
  <c r="AK32" i="1"/>
  <c r="X91" i="1"/>
  <c r="N10" i="1"/>
  <c r="N19" i="1"/>
  <c r="N23" i="1"/>
  <c r="N30" i="1"/>
  <c r="X72" i="1"/>
  <c r="X76" i="1"/>
  <c r="X80" i="1"/>
  <c r="AK91" i="1"/>
  <c r="X54" i="1"/>
  <c r="X73" i="1"/>
  <c r="X84" i="1"/>
  <c r="X88" i="1"/>
  <c r="X92" i="1"/>
  <c r="AG107" i="1"/>
  <c r="AK40" i="1"/>
  <c r="AK43" i="1"/>
  <c r="AK47" i="1"/>
  <c r="AK58" i="1"/>
  <c r="X66" i="1"/>
  <c r="AK85" i="1"/>
  <c r="X79" i="1"/>
  <c r="AK75" i="1"/>
  <c r="AK79" i="1"/>
  <c r="AI102" i="1"/>
  <c r="AJ102" i="1"/>
  <c r="AE112" i="1"/>
  <c r="AK9" i="1"/>
  <c r="AK19" i="1"/>
  <c r="AK41" i="1"/>
  <c r="AK44" i="1"/>
  <c r="AK48" i="1"/>
  <c r="AK52" i="1"/>
  <c r="AK56" i="1"/>
  <c r="AK59" i="1"/>
  <c r="N67" i="1"/>
  <c r="X75" i="1"/>
  <c r="AF114" i="1"/>
  <c r="AG100" i="1"/>
  <c r="AF100" i="1"/>
  <c r="N86" i="1"/>
  <c r="AK94" i="1"/>
  <c r="AG104" i="1"/>
  <c r="AG108" i="1"/>
  <c r="N14" i="1"/>
  <c r="AJ14" i="1"/>
  <c r="AI14" i="1"/>
  <c r="AK33" i="1"/>
  <c r="AK36" i="1"/>
  <c r="AK42" i="1"/>
  <c r="AK45" i="1"/>
  <c r="AK49" i="1"/>
  <c r="AK53" i="1"/>
  <c r="AK68" i="1"/>
  <c r="AG105" i="1"/>
  <c r="AJ105" i="1"/>
  <c r="AI105" i="1"/>
  <c r="N7" i="1"/>
  <c r="AI7" i="1"/>
  <c r="AJ7" i="1"/>
  <c r="AK17" i="1"/>
  <c r="AK26" i="1"/>
  <c r="X50" i="1"/>
  <c r="X61" i="1"/>
  <c r="X65" i="1"/>
  <c r="V114" i="1"/>
  <c r="AK81" i="1"/>
  <c r="AG106" i="1"/>
  <c r="AJ110" i="1"/>
  <c r="AI110" i="1"/>
  <c r="AK27" i="1"/>
  <c r="AK31" i="1"/>
  <c r="AK51" i="1"/>
  <c r="AK62" i="1"/>
  <c r="N74" i="1"/>
  <c r="AK78" i="1"/>
  <c r="N89" i="1"/>
  <c r="AF112" i="1"/>
  <c r="AG102" i="1"/>
  <c r="AK67" i="1"/>
  <c r="AE114" i="1"/>
  <c r="AE100" i="1"/>
  <c r="AK86" i="1"/>
  <c r="N98" i="1"/>
  <c r="AI104" i="1"/>
  <c r="AJ104" i="1"/>
  <c r="AK20" i="1"/>
  <c r="AK29" i="1"/>
  <c r="N64" i="1"/>
  <c r="N87" i="1"/>
  <c r="AI111" i="1"/>
  <c r="AJ111" i="1"/>
  <c r="AK22" i="1"/>
  <c r="AK37" i="1"/>
  <c r="N96" i="1"/>
  <c r="AJ106" i="1"/>
  <c r="AI106" i="1"/>
  <c r="N55" i="1"/>
  <c r="N70" i="1"/>
  <c r="AK74" i="1"/>
  <c r="N82" i="1"/>
  <c r="AK89" i="1"/>
  <c r="N46" i="1"/>
  <c r="M100" i="1"/>
  <c r="M114" i="1"/>
  <c r="N6" i="1"/>
  <c r="N90" i="1"/>
  <c r="AK13" i="1"/>
  <c r="AK15" i="1"/>
  <c r="AK28" i="1"/>
  <c r="X41" i="1"/>
  <c r="X48" i="1"/>
  <c r="X56" i="1"/>
  <c r="N63" i="1"/>
  <c r="N71" i="1"/>
  <c r="AK98" i="1"/>
  <c r="AI103" i="1"/>
  <c r="AJ103" i="1"/>
  <c r="AK10" i="1"/>
  <c r="AK16" i="1"/>
  <c r="X45" i="1"/>
  <c r="X53" i="1"/>
  <c r="X60" i="1"/>
  <c r="AK64" i="1"/>
  <c r="X83" i="1"/>
  <c r="AK87" i="1"/>
  <c r="AG111" i="1"/>
  <c r="AK11" i="1"/>
  <c r="N34" i="1"/>
  <c r="AI34" i="1"/>
  <c r="AJ34" i="1"/>
  <c r="L100" i="1"/>
  <c r="X77" i="1"/>
  <c r="AK96" i="1"/>
  <c r="AK12" i="1"/>
  <c r="AK23" i="1"/>
  <c r="AK55" i="1"/>
  <c r="AK70" i="1"/>
  <c r="AK82" i="1"/>
  <c r="X85" i="1"/>
  <c r="N97" i="1"/>
  <c r="AH6" i="1"/>
  <c r="AK6" i="1" s="1"/>
  <c r="K114" i="1"/>
  <c r="V100" i="1"/>
  <c r="V113" i="1" s="1"/>
  <c r="AK24" i="1"/>
  <c r="AK35" i="1"/>
  <c r="X44" i="1"/>
  <c r="X52" i="1"/>
  <c r="X59" i="1"/>
  <c r="AK63" i="1"/>
  <c r="AK71" i="1"/>
  <c r="AD114" i="1"/>
  <c r="N94" i="1"/>
  <c r="AI108" i="1"/>
  <c r="AJ108" i="1"/>
  <c r="AG103" i="1"/>
  <c r="N25" i="1"/>
  <c r="AI25" i="1"/>
  <c r="AJ25" i="1"/>
  <c r="X42" i="1"/>
  <c r="X49" i="1"/>
  <c r="X57" i="1"/>
  <c r="AK60" i="1"/>
  <c r="N68" i="1"/>
  <c r="AK72" i="1"/>
  <c r="AK76" i="1"/>
  <c r="AK80" i="1"/>
  <c r="AK83" i="1"/>
  <c r="AG109" i="1"/>
  <c r="AJ109" i="1"/>
  <c r="AI109" i="1"/>
  <c r="N21" i="1"/>
  <c r="AJ21" i="1"/>
  <c r="AI21" i="1"/>
  <c r="AK30" i="1"/>
  <c r="AK46" i="1"/>
  <c r="AK73" i="1"/>
  <c r="AK77" i="1"/>
  <c r="N81" i="1"/>
  <c r="AK84" i="1"/>
  <c r="AK88" i="1"/>
  <c r="AK92" i="1"/>
  <c r="AG110" i="1"/>
  <c r="AI107" i="1"/>
  <c r="AJ107" i="1"/>
  <c r="AK8" i="1"/>
  <c r="AK18" i="1"/>
  <c r="X40" i="1"/>
  <c r="X43" i="1"/>
  <c r="N51" i="1"/>
  <c r="X58" i="1"/>
  <c r="N62" i="1"/>
  <c r="AK66" i="1"/>
  <c r="X78" i="1"/>
  <c r="AK97" i="1"/>
  <c r="W114" i="1"/>
  <c r="X69" i="1"/>
  <c r="AH69" i="1"/>
  <c r="AH114" i="1" s="1"/>
  <c r="U114" i="1"/>
  <c r="X99" i="1"/>
  <c r="AK99" i="1"/>
  <c r="AJ95" i="1"/>
  <c r="AI100" i="1"/>
  <c r="X95" i="1"/>
  <c r="W100" i="1"/>
  <c r="W113" i="1" s="1"/>
  <c r="K38" i="1"/>
  <c r="K100" i="1"/>
  <c r="M38" i="1"/>
  <c r="I81" i="7" l="1"/>
  <c r="X81" i="7" s="1"/>
  <c r="G83" i="7"/>
  <c r="P136" i="7"/>
  <c r="P146" i="7" s="1"/>
  <c r="AJ114" i="1"/>
  <c r="AF113" i="1"/>
  <c r="AK111" i="1"/>
  <c r="AH100" i="1"/>
  <c r="M113" i="1"/>
  <c r="AK102" i="1"/>
  <c r="AH38" i="1"/>
  <c r="AK107" i="1"/>
  <c r="AI114" i="1"/>
  <c r="AK109" i="1"/>
  <c r="AK25" i="1"/>
  <c r="AK108" i="1"/>
  <c r="AK106" i="1"/>
  <c r="AK104" i="1"/>
  <c r="AJ38" i="1"/>
  <c r="X100" i="1"/>
  <c r="X113" i="1" s="1"/>
  <c r="AI38" i="1"/>
  <c r="AK110" i="1"/>
  <c r="AK14" i="1"/>
  <c r="AE113" i="1"/>
  <c r="N100" i="1"/>
  <c r="L113" i="1"/>
  <c r="AG112" i="1"/>
  <c r="AG113" i="1" s="1"/>
  <c r="AK7" i="1"/>
  <c r="AJ112" i="1"/>
  <c r="AK105" i="1"/>
  <c r="AK21" i="1"/>
  <c r="AK34" i="1"/>
  <c r="AK103" i="1"/>
  <c r="AI112" i="1"/>
  <c r="AK69" i="1"/>
  <c r="AK95" i="1"/>
  <c r="AJ100" i="1"/>
  <c r="N38" i="1"/>
  <c r="K113" i="1"/>
  <c r="AH113" i="1" l="1"/>
  <c r="AH115" i="1" s="1"/>
  <c r="I83" i="7"/>
  <c r="X83" i="7" s="1"/>
  <c r="G100" i="7"/>
  <c r="AI113" i="1"/>
  <c r="AI115" i="1" s="1"/>
  <c r="AK100" i="1"/>
  <c r="AK38" i="1"/>
  <c r="N113" i="1"/>
  <c r="AK112" i="1"/>
  <c r="AJ113" i="1"/>
  <c r="AJ115" i="1" s="1"/>
  <c r="I100" i="7" l="1"/>
  <c r="X100" i="7" s="1"/>
  <c r="G101" i="7"/>
  <c r="AK113" i="1"/>
  <c r="I101" i="7" l="1"/>
  <c r="X101" i="7" s="1"/>
  <c r="G103" i="7"/>
  <c r="I103" i="7" l="1"/>
  <c r="X103" i="7" s="1"/>
  <c r="G104" i="7"/>
  <c r="I104" i="7" l="1"/>
  <c r="X104" i="7" s="1"/>
  <c r="G108" i="7"/>
  <c r="I108" i="7" l="1"/>
  <c r="X108" i="7" s="1"/>
  <c r="G109" i="7"/>
  <c r="I109" i="7" l="1"/>
  <c r="X109" i="7" s="1"/>
  <c r="G110" i="7"/>
  <c r="I110" i="7" l="1"/>
  <c r="X110" i="7" s="1"/>
  <c r="G111" i="7"/>
  <c r="I111" i="7" l="1"/>
  <c r="X111" i="7" s="1"/>
  <c r="G114" i="7"/>
  <c r="I114" i="7" l="1"/>
  <c r="X114" i="7" s="1"/>
  <c r="G115" i="7"/>
  <c r="I115" i="7" l="1"/>
  <c r="X115" i="7" s="1"/>
  <c r="G116" i="7"/>
  <c r="AK53" i="9" l="1"/>
  <c r="I116" i="7"/>
  <c r="X116" i="7" s="1"/>
  <c r="G117" i="7"/>
  <c r="AK45" i="9" l="1"/>
  <c r="AK54" i="9" s="1"/>
  <c r="AK222" i="9" s="1"/>
  <c r="N45" i="9"/>
  <c r="I117" i="7"/>
  <c r="X117" i="7" s="1"/>
  <c r="G118" i="7"/>
  <c r="N53" i="9" l="1"/>
  <c r="N54" i="9" s="1"/>
  <c r="N222" i="9" s="1"/>
  <c r="I118" i="7"/>
  <c r="X118" i="7" s="1"/>
  <c r="G119" i="7"/>
  <c r="G122" i="7"/>
  <c r="I119" i="7" l="1"/>
  <c r="X119" i="7" s="1"/>
  <c r="I122" i="7"/>
  <c r="X122" i="7" s="1"/>
  <c r="G123" i="7"/>
  <c r="G124" i="7"/>
  <c r="I124" i="7" l="1"/>
  <c r="X124" i="7" s="1"/>
  <c r="I123" i="7"/>
  <c r="X123" i="7" s="1"/>
  <c r="G125" i="7"/>
  <c r="I125" i="7" l="1"/>
  <c r="X125" i="7" s="1"/>
  <c r="G126" i="7"/>
  <c r="I126" i="7" l="1"/>
  <c r="X126" i="7" s="1"/>
  <c r="G127" i="7"/>
  <c r="I127" i="7" l="1"/>
  <c r="X127" i="7" s="1"/>
  <c r="G130" i="7"/>
  <c r="I130" i="7" l="1"/>
  <c r="X130" i="7" s="1"/>
  <c r="G131" i="7"/>
  <c r="I131" i="7" l="1"/>
  <c r="X131" i="7" s="1"/>
  <c r="X136" i="7" s="1"/>
  <c r="G141" i="7"/>
  <c r="I141" i="7" l="1"/>
  <c r="X141" i="7" s="1"/>
  <c r="X144" i="7" s="1"/>
  <c r="X146" i="7" s="1"/>
  <c r="I136" i="7" l="1"/>
  <c r="I144" i="7" l="1"/>
  <c r="I146" i="7" s="1"/>
  <c r="AW22" i="9" l="1"/>
  <c r="AZ8" i="9"/>
  <c r="AV148" i="9"/>
  <c r="AW54" i="9" l="1"/>
  <c r="AU54" i="9" s="1"/>
  <c r="AU22" i="9"/>
  <c r="AY141" i="9"/>
  <c r="AY175" i="9" s="1"/>
  <c r="AY176" i="9" s="1"/>
  <c r="AY222" i="9" s="1"/>
  <c r="BA141" i="9"/>
  <c r="BA222" i="9" s="1"/>
  <c r="AX175" i="9"/>
  <c r="AX176" i="9" s="1"/>
  <c r="AX222" i="9" s="1"/>
  <c r="AW175" i="9"/>
  <c r="AV175" i="9"/>
  <c r="AZ141" i="9" l="1"/>
  <c r="BI141" i="9"/>
  <c r="BD22" i="9"/>
  <c r="BC22" i="9"/>
  <c r="AV176" i="9"/>
  <c r="AT175" i="9"/>
  <c r="AW176" i="9"/>
  <c r="AU175" i="9"/>
  <c r="BD175" i="9" l="1"/>
  <c r="BC175" i="9"/>
  <c r="BE22" i="9"/>
  <c r="BC54" i="9"/>
  <c r="BG22" i="9"/>
  <c r="BD54" i="9"/>
  <c r="BH22" i="9"/>
  <c r="AW222" i="9"/>
  <c r="AU222" i="9" s="1"/>
  <c r="AU176" i="9"/>
  <c r="AV222" i="9"/>
  <c r="AT222" i="9" s="1"/>
  <c r="AT176" i="9"/>
  <c r="BG175" i="9" l="1"/>
  <c r="BC176" i="9"/>
  <c r="BG176" i="9" s="1"/>
  <c r="BE175" i="9"/>
  <c r="BH175" i="9"/>
  <c r="BD176" i="9"/>
  <c r="BH176" i="9" s="1"/>
  <c r="BH54" i="9"/>
  <c r="BG54" i="9"/>
  <c r="BC222" i="9"/>
  <c r="BI22" i="9"/>
  <c r="BE54" i="9"/>
  <c r="BG222" i="9" l="1"/>
  <c r="BD222" i="9"/>
  <c r="BI175" i="9"/>
  <c r="BE176" i="9"/>
  <c r="BI176" i="9" s="1"/>
  <c r="BH222" i="9"/>
  <c r="BI54" i="9"/>
  <c r="BI222" i="9" l="1"/>
  <c r="BE222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Пользователь Windows</author>
  </authors>
  <commentList>
    <comment ref="E5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по данным от Михайловой О.А. 27.09.21</t>
        </r>
      </text>
    </comment>
    <comment ref="F5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по данным от Михайловой О.А. 27.09.21</t>
        </r>
      </text>
    </comment>
    <comment ref="G5" authorId="0" shapeId="0" xr:uid="{00000000-0006-0000-0000-000003000000}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по данным от Михайловой О.А. 27.09.21</t>
        </r>
      </text>
    </comment>
    <comment ref="H5" authorId="0" shapeId="0" xr:uid="{00000000-0006-0000-0000-000004000000}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I5" authorId="0" shapeId="0" xr:uid="{00000000-0006-0000-0000-000005000000}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по даннм от Михайловой О.А. 27.09.21</t>
        </r>
      </text>
    </comment>
    <comment ref="J5" authorId="0" shapeId="0" xr:uid="{00000000-0006-0000-0000-000006000000}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по данным от Михайловой О.А. 27.09.21</t>
        </r>
      </text>
    </comment>
    <comment ref="K5" authorId="0" shapeId="0" xr:uid="{00000000-0006-0000-0000-000007000000}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по данным от Михайловой О.А. 27.09.21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Пользователь Windows</author>
  </authors>
  <commentList>
    <comment ref="D2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по данным Михайловой О.А. 27.09.21</t>
        </r>
      </text>
    </comment>
    <comment ref="E168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8 час 5 дней</t>
        </r>
      </text>
    </comment>
    <comment ref="F168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по рабочим дням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Пользователь Windows</author>
    <author>EC1</author>
  </authors>
  <commentList>
    <comment ref="D34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школа мест. бюджет</t>
        </r>
      </text>
    </comment>
    <comment ref="AA34" authorId="1" shapeId="0" xr:uid="{00000000-0006-0000-0200-000002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 дневной пост</t>
        </r>
      </text>
    </comment>
    <comment ref="P35" authorId="1" shapeId="0" xr:uid="{00000000-0006-0000-0200-000003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 дневной пост</t>
        </r>
      </text>
    </comment>
    <comment ref="AA51" authorId="1" shapeId="0" xr:uid="{00000000-0006-0000-0200-000004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12
 час</t>
        </r>
      </text>
    </comment>
    <comment ref="F96" authorId="1" shapeId="0" xr:uid="{00000000-0006-0000-0200-000005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 пост 12 час</t>
        </r>
      </text>
    </comment>
    <comment ref="AA103" authorId="1" shapeId="0" xr:uid="{00000000-0006-0000-0200-000006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12
 час</t>
        </r>
      </text>
    </comment>
    <comment ref="D204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лехтуси</t>
        </r>
      </text>
    </comment>
    <comment ref="P217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8 час 5 дней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EC1</author>
    <author>Пользователь Windows</author>
  </authors>
  <commentList>
    <comment ref="E19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12 час</t>
        </r>
      </text>
    </comment>
    <comment ref="E2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12 час</t>
        </r>
      </text>
    </comment>
    <comment ref="K56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 дневной пост</t>
        </r>
      </text>
    </comment>
    <comment ref="B58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1329
</t>
        </r>
      </text>
    </comment>
    <comment ref="B67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1162</t>
        </r>
      </text>
    </comment>
    <comment ref="B69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969</t>
        </r>
      </text>
    </comment>
    <comment ref="B71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474</t>
        </r>
      </text>
    </comment>
    <comment ref="B76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828</t>
        </r>
      </text>
    </comment>
    <comment ref="B84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1204</t>
        </r>
      </text>
    </comment>
    <comment ref="B88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426</t>
        </r>
      </text>
    </comment>
    <comment ref="B90" authorId="0" shapeId="0" xr:uid="{00000000-0006-0000-0300-00000B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1282
</t>
        </r>
      </text>
    </comment>
    <comment ref="J90" authorId="0" shapeId="0" xr:uid="{00000000-0006-0000-0300-00000C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начальная</t>
        </r>
      </text>
    </comment>
    <comment ref="J91" authorId="0" shapeId="0" xr:uid="{00000000-0006-0000-0300-00000D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новостройка</t>
        </r>
      </text>
    </comment>
    <comment ref="J92" authorId="0" shapeId="0" xr:uid="{00000000-0006-0000-0300-00000E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учебный процесс не ведется, надо охранять</t>
        </r>
      </text>
    </comment>
    <comment ref="B105" authorId="0" shapeId="0" xr:uid="{00000000-0006-0000-0300-00000F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250
</t>
        </r>
      </text>
    </comment>
    <comment ref="K107" authorId="1" shapeId="0" xr:uid="{00000000-0006-0000-0300-000010000000}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8 час 5 дней</t>
        </r>
      </text>
    </comment>
    <comment ref="B108" authorId="0" shapeId="0" xr:uid="{00000000-0006-0000-0300-000011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1221</t>
        </r>
      </text>
    </comment>
    <comment ref="B114" authorId="0" shapeId="0" xr:uid="{00000000-0006-0000-0300-000012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1743</t>
        </r>
      </text>
    </comment>
    <comment ref="C114" authorId="0" shapeId="0" xr:uid="{00000000-0006-0000-0300-000013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149</t>
        </r>
      </text>
    </comment>
    <comment ref="C115" authorId="0" shapeId="0" xr:uid="{00000000-0006-0000-0300-000014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150</t>
        </r>
      </text>
    </comment>
    <comment ref="C116" authorId="0" shapeId="0" xr:uid="{00000000-0006-0000-0300-000015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101</t>
        </r>
      </text>
    </comment>
    <comment ref="C117" authorId="0" shapeId="0" xr:uid="{00000000-0006-0000-0300-000016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101
</t>
        </r>
      </text>
    </comment>
    <comment ref="C118" authorId="0" shapeId="0" xr:uid="{00000000-0006-0000-0300-000017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110</t>
        </r>
      </text>
    </comment>
    <comment ref="C119" authorId="1" shapeId="0" xr:uid="{00000000-0006-0000-0300-000018000000}">
      <text>
        <r>
          <rPr>
            <b/>
            <sz val="9"/>
            <color indexed="81"/>
            <rFont val="Tahoma"/>
            <family val="2"/>
            <charset val="204"/>
          </rPr>
          <t>Пользователь Windows:</t>
        </r>
        <r>
          <rPr>
            <sz val="9"/>
            <color indexed="81"/>
            <rFont val="Tahoma"/>
            <family val="2"/>
            <charset val="204"/>
          </rPr>
          <t xml:space="preserve">
мур дскв № 4</t>
        </r>
      </text>
    </comment>
    <comment ref="K120" authorId="0" shapeId="0" xr:uid="{00000000-0006-0000-0300-000019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 пост 24 час</t>
        </r>
      </text>
    </comment>
    <comment ref="K121" authorId="0" shapeId="0" xr:uid="{00000000-0006-0000-0300-00001A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 пост 12 час</t>
        </r>
      </text>
    </comment>
    <comment ref="E130" authorId="0" shapeId="0" xr:uid="{00000000-0006-0000-0300-00001B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 пост 12 час</t>
        </r>
      </text>
    </comment>
    <comment ref="K131" authorId="0" shapeId="0" xr:uid="{00000000-0006-0000-0300-00001C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24 час 1 пост</t>
        </r>
      </text>
    </comment>
    <comment ref="K132" authorId="0" shapeId="0" xr:uid="{00000000-0006-0000-0300-00001D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24 час 1 пост</t>
        </r>
      </text>
    </comment>
    <comment ref="K133" authorId="0" shapeId="0" xr:uid="{00000000-0006-0000-0300-00001E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2 поста 12 час</t>
        </r>
      </text>
    </comment>
    <comment ref="K134" authorId="0" shapeId="0" xr:uid="{00000000-0006-0000-0300-00001F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12 час</t>
        </r>
      </text>
    </comment>
    <comment ref="C139" authorId="0" shapeId="0" xr:uid="{00000000-0006-0000-0300-000020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ЦИТ</t>
        </r>
      </text>
    </comment>
    <comment ref="R142" authorId="0" shapeId="0" xr:uid="{00000000-0006-0000-0300-000021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12
 час</t>
        </r>
      </text>
    </comment>
    <comment ref="R145" authorId="0" shapeId="0" xr:uid="{00000000-0006-0000-0300-000022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12
 час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EC1</author>
  </authors>
  <commentList>
    <comment ref="E19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12 час</t>
        </r>
      </text>
    </comment>
    <comment ref="E2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12 час</t>
        </r>
      </text>
    </comment>
    <comment ref="L53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 дневной пост</t>
        </r>
      </text>
    </comment>
    <comment ref="B55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1329
</t>
        </r>
      </text>
    </comment>
    <comment ref="B64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1162</t>
        </r>
      </text>
    </comment>
    <comment ref="B66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969</t>
        </r>
      </text>
    </comment>
    <comment ref="B68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474</t>
        </r>
      </text>
    </comment>
    <comment ref="B73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828</t>
        </r>
      </text>
    </comment>
    <comment ref="B81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1204</t>
        </r>
      </text>
    </comment>
    <comment ref="B85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426</t>
        </r>
      </text>
    </comment>
    <comment ref="B87" authorId="0" shapeId="0" xr:uid="{00000000-0006-0000-0400-00000B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1282
</t>
        </r>
      </text>
    </comment>
    <comment ref="K87" authorId="0" shapeId="0" xr:uid="{00000000-0006-0000-0400-00000C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начальная</t>
        </r>
      </text>
    </comment>
    <comment ref="K88" authorId="0" shapeId="0" xr:uid="{00000000-0006-0000-0400-00000D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новостройка</t>
        </r>
      </text>
    </comment>
    <comment ref="K89" authorId="0" shapeId="0" xr:uid="{00000000-0006-0000-0400-00000E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учебный процесс не ведется, надо охранять</t>
        </r>
      </text>
    </comment>
    <comment ref="B102" authorId="0" shapeId="0" xr:uid="{00000000-0006-0000-0400-00000F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250
</t>
        </r>
      </text>
    </comment>
    <comment ref="B105" authorId="0" shapeId="0" xr:uid="{00000000-0006-0000-0400-000010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1221</t>
        </r>
      </text>
    </comment>
    <comment ref="B111" authorId="0" shapeId="0" xr:uid="{00000000-0006-0000-0400-000011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1743</t>
        </r>
      </text>
    </comment>
    <comment ref="C111" authorId="0" shapeId="0" xr:uid="{00000000-0006-0000-0400-000012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149</t>
        </r>
      </text>
    </comment>
    <comment ref="C112" authorId="0" shapeId="0" xr:uid="{00000000-0006-0000-0400-000013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150</t>
        </r>
      </text>
    </comment>
    <comment ref="C113" authorId="0" shapeId="0" xr:uid="{00000000-0006-0000-0400-000014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101</t>
        </r>
      </text>
    </comment>
    <comment ref="C114" authorId="0" shapeId="0" xr:uid="{00000000-0006-0000-0400-000015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80</t>
        </r>
      </text>
    </comment>
    <comment ref="C115" authorId="0" shapeId="0" xr:uid="{00000000-0006-0000-0400-000016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110</t>
        </r>
      </text>
    </comment>
    <comment ref="L116" authorId="0" shapeId="0" xr:uid="{00000000-0006-0000-0400-000017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 пост 24 час</t>
        </r>
      </text>
    </comment>
    <comment ref="L117" authorId="0" shapeId="0" xr:uid="{00000000-0006-0000-0400-000018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 пост 12 час</t>
        </r>
      </text>
    </comment>
    <comment ref="L119" authorId="0" shapeId="0" xr:uid="{00000000-0006-0000-0400-000019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24 час 1 пост</t>
        </r>
      </text>
    </comment>
    <comment ref="L120" authorId="0" shapeId="0" xr:uid="{00000000-0006-0000-0400-00001A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2 поста 12 час</t>
        </r>
      </text>
    </comment>
    <comment ref="L121" authorId="0" shapeId="0" xr:uid="{00000000-0006-0000-0400-00001B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12 час</t>
        </r>
      </text>
    </comment>
    <comment ref="C126" authorId="0" shapeId="0" xr:uid="{00000000-0006-0000-0400-00001C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ЦИТ</t>
        </r>
      </text>
    </comment>
    <comment ref="S127" authorId="0" shapeId="0" xr:uid="{00000000-0006-0000-0400-00001D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дети переведены в основное здание и ЦИТ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EC1</author>
  </authors>
  <commentList>
    <comment ref="E19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12 час</t>
        </r>
      </text>
    </comment>
    <comment ref="E2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12 час</t>
        </r>
      </text>
    </comment>
    <comment ref="L53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 дневной пост</t>
        </r>
      </text>
    </comment>
    <comment ref="B55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1329
</t>
        </r>
      </text>
    </comment>
    <comment ref="B64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1162</t>
        </r>
      </text>
    </comment>
    <comment ref="B66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969</t>
        </r>
      </text>
    </comment>
    <comment ref="B68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474</t>
        </r>
      </text>
    </comment>
    <comment ref="B73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828</t>
        </r>
      </text>
    </comment>
    <comment ref="B81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1204</t>
        </r>
      </text>
    </comment>
    <comment ref="B85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426</t>
        </r>
      </text>
    </comment>
    <comment ref="B87" authorId="0" shapeId="0" xr:uid="{00000000-0006-0000-0500-00000B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1282
</t>
        </r>
      </text>
    </comment>
    <comment ref="K87" authorId="0" shapeId="0" xr:uid="{00000000-0006-0000-0500-00000C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начальная</t>
        </r>
      </text>
    </comment>
    <comment ref="K88" authorId="0" shapeId="0" xr:uid="{00000000-0006-0000-0500-00000D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новостройка</t>
        </r>
      </text>
    </comment>
    <comment ref="K89" authorId="0" shapeId="0" xr:uid="{00000000-0006-0000-0500-00000E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учебный процесс не ведется, надо охранять</t>
        </r>
      </text>
    </comment>
    <comment ref="B102" authorId="0" shapeId="0" xr:uid="{00000000-0006-0000-0500-00000F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250
</t>
        </r>
      </text>
    </comment>
    <comment ref="B105" authorId="0" shapeId="0" xr:uid="{00000000-0006-0000-0500-000010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1221</t>
        </r>
      </text>
    </comment>
    <comment ref="B111" authorId="0" shapeId="0" xr:uid="{00000000-0006-0000-0500-000011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1743</t>
        </r>
      </text>
    </comment>
    <comment ref="C111" authorId="0" shapeId="0" xr:uid="{00000000-0006-0000-0500-000012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149</t>
        </r>
      </text>
    </comment>
    <comment ref="C112" authorId="0" shapeId="0" xr:uid="{00000000-0006-0000-0500-000013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150</t>
        </r>
      </text>
    </comment>
    <comment ref="C113" authorId="0" shapeId="0" xr:uid="{00000000-0006-0000-0500-000014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101</t>
        </r>
      </text>
    </comment>
    <comment ref="C114" authorId="0" shapeId="0" xr:uid="{00000000-0006-0000-0500-000015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80</t>
        </r>
      </text>
    </comment>
    <comment ref="C115" authorId="0" shapeId="0" xr:uid="{00000000-0006-0000-0500-000016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110</t>
        </r>
      </text>
    </comment>
    <comment ref="L116" authorId="0" shapeId="0" xr:uid="{00000000-0006-0000-0500-000017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 пост 24 час</t>
        </r>
      </text>
    </comment>
    <comment ref="L117" authorId="0" shapeId="0" xr:uid="{00000000-0006-0000-0500-000018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 пост 12 час</t>
        </r>
      </text>
    </comment>
    <comment ref="L119" authorId="0" shapeId="0" xr:uid="{00000000-0006-0000-0500-000019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24 час 1 пост</t>
        </r>
      </text>
    </comment>
    <comment ref="L120" authorId="0" shapeId="0" xr:uid="{00000000-0006-0000-0500-00001A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2 поста 12 час</t>
        </r>
      </text>
    </comment>
    <comment ref="L121" authorId="0" shapeId="0" xr:uid="{00000000-0006-0000-0500-00001B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12 час</t>
        </r>
      </text>
    </comment>
    <comment ref="C126" authorId="0" shapeId="0" xr:uid="{00000000-0006-0000-0500-00001C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ЦИТ</t>
        </r>
      </text>
    </comment>
    <comment ref="S127" authorId="0" shapeId="0" xr:uid="{00000000-0006-0000-0500-00001D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дети переведены в основное здание и ЦИТ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EC1</author>
  </authors>
  <commentList>
    <comment ref="F19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12 час</t>
        </r>
      </text>
    </comment>
    <comment ref="F2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12 час</t>
        </r>
      </text>
    </comment>
    <comment ref="K8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новостройка</t>
        </r>
      </text>
    </comment>
    <comment ref="D113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ЦИТ</t>
        </r>
      </text>
    </comment>
    <comment ref="S113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12 час</t>
        </r>
      </text>
    </comment>
    <comment ref="R114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дети переведены в основное здание и ЦИТ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EC1</author>
  </authors>
  <commentList>
    <comment ref="Q44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ув. Кол.обуч. Было 985 80000</t>
        </r>
      </text>
    </comment>
    <comment ref="Q75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ув. Кол.обуч. Было 587 75000
</t>
        </r>
      </text>
    </comment>
    <comment ref="Q85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ув. Кол. Обуч. Было 389 65000</t>
        </r>
      </text>
    </comment>
    <comment ref="D109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ЦИТ</t>
        </r>
      </text>
    </comment>
    <comment ref="Y1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04"/>
          </rPr>
          <t>EC1:</t>
        </r>
        <r>
          <rPr>
            <sz val="9"/>
            <color indexed="81"/>
            <rFont val="Tahoma"/>
            <family val="2"/>
            <charset val="204"/>
          </rPr>
          <t xml:space="preserve">
дети переведены в основное здание и ЦИТ</t>
        </r>
      </text>
    </comment>
  </commentList>
</comments>
</file>

<file path=xl/sharedStrings.xml><?xml version="1.0" encoding="utf-8"?>
<sst xmlns="http://schemas.openxmlformats.org/spreadsheetml/2006/main" count="2433" uniqueCount="591">
  <si>
    <t>Всего:</t>
  </si>
  <si>
    <t>Итого:</t>
  </si>
  <si>
    <t>п. им. Морозова, Первомайская, 10А</t>
  </si>
  <si>
    <t>Всеволожск, Торговый пр., 144</t>
  </si>
  <si>
    <t>Всеволожск, Грибоедова 10</t>
  </si>
  <si>
    <t>Всеволожск, 1 линия, 38</t>
  </si>
  <si>
    <t>ООО "ОО "Звездочёт"</t>
  </si>
  <si>
    <t>МОУДОД "Дворец детского (юношеского) творчества Всеволожского района"</t>
  </si>
  <si>
    <t>Всеволожск, стадион и раздевалки СОШ № 2</t>
  </si>
  <si>
    <t>п. Кузьмоловский, Спортивная, 1А</t>
  </si>
  <si>
    <t>п. им. Морозова, ул. Спорта</t>
  </si>
  <si>
    <t>п. им. Морозова, Чкалова, 3А</t>
  </si>
  <si>
    <t>МОБУ ДОД "Всеволожская ДЮСШ"</t>
  </si>
  <si>
    <t>Сертолово, Молодцова 4, корп. 3</t>
  </si>
  <si>
    <t>МОУДОД ДЮСШ "Норус"</t>
  </si>
  <si>
    <t>д. Коккорево, 200</t>
  </si>
  <si>
    <t>"ООО"ОО "Тайга Северо-Запад"</t>
  </si>
  <si>
    <t>МОУДОД "Ладожец"</t>
  </si>
  <si>
    <t>Учреждения дополнительного образования</t>
  </si>
  <si>
    <t>новостройка с 01.09.16</t>
  </si>
  <si>
    <t>новостройка с 01.01.16</t>
  </si>
  <si>
    <t>МОБУ "Муринская СОШ №1"</t>
  </si>
  <si>
    <t>МОБУ "Кудровская СОШ №1"</t>
  </si>
  <si>
    <t>МОУ "ВОСОШ № 2"</t>
  </si>
  <si>
    <t>п. Осельки, 90</t>
  </si>
  <si>
    <t>п. Осельки, Ленинградская 1А</t>
  </si>
  <si>
    <t>МОУ "Осельковская ООШ"</t>
  </si>
  <si>
    <t>д. Янино-1, Новая</t>
  </si>
  <si>
    <t>д. Янино-1, Новая, 16</t>
  </si>
  <si>
    <t>МОУ "Янинская СОШ"</t>
  </si>
  <si>
    <t>д. Хапо-Ое</t>
  </si>
  <si>
    <t>п. Разметелево</t>
  </si>
  <si>
    <t>МОУ "Разметелевская СОШ"</t>
  </si>
  <si>
    <t>МОУ "Щегловская СОШ"</t>
  </si>
  <si>
    <t>п. Романовка, 24</t>
  </si>
  <si>
    <t>МОУ "Романовская СОШ"</t>
  </si>
  <si>
    <t>п. Стеклянный</t>
  </si>
  <si>
    <t>п. Лесное</t>
  </si>
  <si>
    <t>п. Лесное, 22</t>
  </si>
  <si>
    <t>МОУ "СОШ "Лесновский ЦО"</t>
  </si>
  <si>
    <t>п. Колтуши, Школьный 14а</t>
  </si>
  <si>
    <t>п. Колтуши, Быкова 4,</t>
  </si>
  <si>
    <t>МОУ "Колтушская СОШ"</t>
  </si>
  <si>
    <t>д. Куйвози, Первомайская, 34А</t>
  </si>
  <si>
    <t>д. Гарболово, 320</t>
  </si>
  <si>
    <t>МОУ "Гарболовская СОШ"</t>
  </si>
  <si>
    <t>п. Бугры, Полевая, 3</t>
  </si>
  <si>
    <t>МОУ "Бугровская СОШ"</t>
  </si>
  <si>
    <t>д. Вартемяги, Пионерская, 2</t>
  </si>
  <si>
    <t>д. Вартемяги, Токсовское ш., 2</t>
  </si>
  <si>
    <t>д. Агалатово, 162 школа</t>
  </si>
  <si>
    <t>МОУ "Агалатовская СОШ"</t>
  </si>
  <si>
    <t>д. Рапполово, Заречная, 21</t>
  </si>
  <si>
    <t>пгт Токсво, Дорожников, 26</t>
  </si>
  <si>
    <t>пгт Токсово, Дорожников, 1</t>
  </si>
  <si>
    <t>МОУ "СОШ "Токсовский ЦО"</t>
  </si>
  <si>
    <t>п. Свердлова, мкр 2, 33А</t>
  </si>
  <si>
    <t>п. Свердлова, мкр 1, 18</t>
  </si>
  <si>
    <t>п. Свердлова, мкр 2, 33</t>
  </si>
  <si>
    <t>п. Свердлова, мкр 1, 43</t>
  </si>
  <si>
    <t>МОУ "СОШ "Свердловский ЦО"</t>
  </si>
  <si>
    <t>д. Ваганово, в/ч № 16, д. 20</t>
  </si>
  <si>
    <t>д. Борисова Грива, Грибное 21</t>
  </si>
  <si>
    <t>п. Рахья, ш. Ленинградское 1</t>
  </si>
  <si>
    <t>д. Ваганово</t>
  </si>
  <si>
    <t>п. Рахья, Севастьянова 1</t>
  </si>
  <si>
    <t>МОУ "СОШ "Рахьинский ЦО"</t>
  </si>
  <si>
    <t>п. им. Морозова, Хесина 20</t>
  </si>
  <si>
    <t>п. им. Морозова, Хесина 11</t>
  </si>
  <si>
    <t>МОУ "СОШ п.им.Морозова"</t>
  </si>
  <si>
    <t>п. Кузьмоловский, Строителей, 10</t>
  </si>
  <si>
    <t>п. Кузьмоловский, Строителей, 7А</t>
  </si>
  <si>
    <t>МОУ "Кузьмоловская СОШ №1"</t>
  </si>
  <si>
    <t>п. Дубровка, Заводская, 5</t>
  </si>
  <si>
    <t>п. Дубровка, Школьная, 17А</t>
  </si>
  <si>
    <t>МОУ "Дубровская СОШ"</t>
  </si>
  <si>
    <t>МОУ "Гимназия" г.Сертолово</t>
  </si>
  <si>
    <t>МОУ "Лицей № 1"</t>
  </si>
  <si>
    <t>Сертолово, Молодцова, 12 корп. 2</t>
  </si>
  <si>
    <t>Сертолово, Молодцова, 4 к. 2</t>
  </si>
  <si>
    <t>МОУ "Сертоловская СОШ №2"</t>
  </si>
  <si>
    <t>Сертолово, мкр Ч.речка, 55</t>
  </si>
  <si>
    <t>Сертолово, Школьная, 1/2</t>
  </si>
  <si>
    <t>Сертолово, Школьная,1/1</t>
  </si>
  <si>
    <t>МОБУ "Сертоловская СОШ №1"</t>
  </si>
  <si>
    <t>Всеволожск, Знаменская, 7</t>
  </si>
  <si>
    <t>Всеволожск, Знаменская, 9</t>
  </si>
  <si>
    <t xml:space="preserve">МОБУ "СОШ ВЦО" </t>
  </si>
  <si>
    <t>Всеволожск, Центральная 5</t>
  </si>
  <si>
    <t>МОБУ "СОШ № 6" г.Всеволожск</t>
  </si>
  <si>
    <t>МОУ "СОШ № 5" г.Всеволожск</t>
  </si>
  <si>
    <t>МОУ "СОШ № 4" г.Всеволожск</t>
  </si>
  <si>
    <t>Всеволожск, Победы 17</t>
  </si>
  <si>
    <t>МОУ "СОШ № 3" г.Всеволожск</t>
  </si>
  <si>
    <t>Всеволожск, Межевая, 10</t>
  </si>
  <si>
    <t>МОУ "СОШ № 2" г.Всеволожск</t>
  </si>
  <si>
    <t>Общеобразовательные учреждения</t>
  </si>
  <si>
    <t>МДОБУ "ДСКВ №1"</t>
  </si>
  <si>
    <t>д. Новое Девяткино, Лесная, 8</t>
  </si>
  <si>
    <t>МДОБУ "Новодевяткинский ДСКВ №1"</t>
  </si>
  <si>
    <t>Сертолово, мкр Чёрная речка 22 корп. 2</t>
  </si>
  <si>
    <t>ООО "ОП "Неос"</t>
  </si>
  <si>
    <t>МДОБУ "Чернореченский ДСКВ"</t>
  </si>
  <si>
    <t>Сертолово, Молодёжная, 1Б</t>
  </si>
  <si>
    <t>МДОБУ "Сертоловский ДСКВ№2"</t>
  </si>
  <si>
    <t>Сертолово, Молодцова, 9А</t>
  </si>
  <si>
    <t>МДОБУ "Сертоловский ДСКВ№1"</t>
  </si>
  <si>
    <t>д. Агалатово, 153</t>
  </si>
  <si>
    <t>д. Агалатово, 152</t>
  </si>
  <si>
    <t>МДОБУ "Агалатовский ДСКВ №1"</t>
  </si>
  <si>
    <t>д. Васкелово,пер. Детсадовский, 7</t>
  </si>
  <si>
    <t>МДОУ "Васкеловский ДСКВ"</t>
  </si>
  <si>
    <t>с. Павлово, Быкова, 9 лит В1</t>
  </si>
  <si>
    <t>д. Старая, Верхняя, 10А</t>
  </si>
  <si>
    <t>МДОУ "ДСКВ № 62"</t>
  </si>
  <si>
    <t xml:space="preserve">Медвежий Стан, Новая, 7/1 </t>
  </si>
  <si>
    <t xml:space="preserve">Медвежий Стан, Оборонная, 16 </t>
  </si>
  <si>
    <t>д. Лаврики</t>
  </si>
  <si>
    <t>МДОУ "ДСКВ № 61"</t>
  </si>
  <si>
    <t xml:space="preserve">д. Новое Девяткино, Арсенальная, лит А </t>
  </si>
  <si>
    <t>д. Новое Девяткино, 96А</t>
  </si>
  <si>
    <t>МДОУ "ДСКВ №59"</t>
  </si>
  <si>
    <t>п. Щеглово, 64</t>
  </si>
  <si>
    <t>МДОУ "ДСКВ № 13" сан.</t>
  </si>
  <si>
    <t>Всеволожск, Шинников 4</t>
  </si>
  <si>
    <t>Всеволожск, Шинников 3</t>
  </si>
  <si>
    <t>п. Романовка 26</t>
  </si>
  <si>
    <t>МДОУ "ДСКВ № 12"</t>
  </si>
  <si>
    <t>п. Кузьмоловский, Школьная 5</t>
  </si>
  <si>
    <t>п. Кузьмоловский, Железнодорожная 18</t>
  </si>
  <si>
    <t>п. Кузьмоловский, Победы 10</t>
  </si>
  <si>
    <t>МДОУ "ДСКВ Кузьмоловский"</t>
  </si>
  <si>
    <t>Всеволожск, Южная 16</t>
  </si>
  <si>
    <t>Всеволожск, Победы 4</t>
  </si>
  <si>
    <t>МДОУ "ДСКВ № 10"</t>
  </si>
  <si>
    <t>Всеволожск, Межевая 13</t>
  </si>
  <si>
    <t>Всеволожск, Вокка 2/2</t>
  </si>
  <si>
    <t>МДОУ "ДСКВ № 6"</t>
  </si>
  <si>
    <t>Всеволожск, ш. Колтушское 124/2</t>
  </si>
  <si>
    <t>ООО "Топаз"</t>
  </si>
  <si>
    <t>Всеволожск, Балашова 5</t>
  </si>
  <si>
    <t>Всеволожск, Вокка 10</t>
  </si>
  <si>
    <t>МДОУ"ЦРР-д/с № 4"</t>
  </si>
  <si>
    <t>Всеволожск, Невская 16</t>
  </si>
  <si>
    <t>Всеволожск, Невская 2</t>
  </si>
  <si>
    <t>МДОУ "ДСКВ Южный"</t>
  </si>
  <si>
    <t>Дошкольные образовательные учреждения</t>
  </si>
  <si>
    <t>в год</t>
  </si>
  <si>
    <t>в месяц</t>
  </si>
  <si>
    <t>"круглосуточные"</t>
  </si>
  <si>
    <t>"дневных"</t>
  </si>
  <si>
    <t>"круглосуточных"</t>
  </si>
  <si>
    <t>Стоимость оказания услуги 2016 год (проект)</t>
  </si>
  <si>
    <t>Коэффициент индексации расходов 2016/2015</t>
  </si>
  <si>
    <t>Стоимость оказания услуги 2015</t>
  </si>
  <si>
    <t>Количество постов охраны "круглосуточных"</t>
  </si>
  <si>
    <t>Численность обучающихся</t>
  </si>
  <si>
    <t>Коэффициент за наличие стадионов и сп. площадок с искусственным покрытием</t>
  </si>
  <si>
    <t>Коэффициент индексации 2016/2015</t>
  </si>
  <si>
    <t>Стоимость оказания услуги 2015 (по ош-1 20.09.15)</t>
  </si>
  <si>
    <t>Количество постов охраны</t>
  </si>
  <si>
    <t xml:space="preserve">Количество постов охраны </t>
  </si>
  <si>
    <t>Учреждения/Отделения дополнительного образования (местный бюджет)</t>
  </si>
  <si>
    <t>Школьное отделение (областной бюджет)</t>
  </si>
  <si>
    <t>Учреждения/Отделения дошкольного образования (местный бюджет)</t>
  </si>
  <si>
    <t>Адрес</t>
  </si>
  <si>
    <t>Поставщик</t>
  </si>
  <si>
    <t>Наименование учреждения</t>
  </si>
  <si>
    <t>№ п/п</t>
  </si>
  <si>
    <t xml:space="preserve">Расчёт по услугам охраны на 2016 год (проект) </t>
  </si>
  <si>
    <t>период 01.02-31.12.16</t>
  </si>
  <si>
    <t>период 01.01 по 31.01.16</t>
  </si>
  <si>
    <t>откл.</t>
  </si>
  <si>
    <t>Стоимость оказания услуги на 2016 год</t>
  </si>
  <si>
    <t>Всеволожск, Межевая, 14</t>
  </si>
  <si>
    <t>Сертолово, Молодцова, 18</t>
  </si>
  <si>
    <t>МОБУ "СОШ "ЦО "Кудрово"</t>
  </si>
  <si>
    <t>Стоимость оказания услуги 2017 год (проект)</t>
  </si>
  <si>
    <t xml:space="preserve">Стоимость оказания услуги </t>
  </si>
  <si>
    <t>Всеволожск, Александровская, 86</t>
  </si>
  <si>
    <t>Всеволожск, Грибоедова, 10</t>
  </si>
  <si>
    <t xml:space="preserve">д. Агалатово, 162 </t>
  </si>
  <si>
    <t>п. Кузьмоловский, Спортивная, 10</t>
  </si>
  <si>
    <t>д. Кудрово, Березовая, 1</t>
  </si>
  <si>
    <t>п. Мурино, бул. Менделеева, д.9, к.3</t>
  </si>
  <si>
    <t>св 100</t>
  </si>
  <si>
    <t>до 100</t>
  </si>
  <si>
    <t>Медвежий Стан, Новая, 7/4</t>
  </si>
  <si>
    <t>Медвежий Стан, д. Лаврики, 41</t>
  </si>
  <si>
    <t>п. Мурино, Авиаторов Балтики 1, 1, 1Н</t>
  </si>
  <si>
    <t>п. Мурино, Шувалова 4, 2</t>
  </si>
  <si>
    <t>п. Мурино, Менделеева, 9, 2</t>
  </si>
  <si>
    <t>д. Кудрово, Центральная, 48</t>
  </si>
  <si>
    <t>д. Кудрово, Европейский, 3</t>
  </si>
  <si>
    <t>д. Кудрово, Европейский, 5</t>
  </si>
  <si>
    <t>с. Павлово, Быкова 4/1</t>
  </si>
  <si>
    <t>с. Павлово, Быкова 4</t>
  </si>
  <si>
    <t>Кол-во постов охраны</t>
  </si>
  <si>
    <t>св 1000</t>
  </si>
  <si>
    <t>до 1000</t>
  </si>
  <si>
    <t>Всеволожск, Героев, 3А</t>
  </si>
  <si>
    <t>МОУ "СОШ "Лесколовский ЦО"</t>
  </si>
  <si>
    <t>п. Лесколово, Красноборская, 6</t>
  </si>
  <si>
    <t>п. Лесколово, Красноборская, 8</t>
  </si>
  <si>
    <t>п. Лесколово, Красноборская, 8А</t>
  </si>
  <si>
    <t>п. Лесколово, Красноборская, 4</t>
  </si>
  <si>
    <t xml:space="preserve">Кол-во постов охраны </t>
  </si>
  <si>
    <t>МОУ "Ново-Девяткинская СОШ №1"</t>
  </si>
  <si>
    <t>д. Новое Девяткино, Школьная 1</t>
  </si>
  <si>
    <t>Справочно АУ:</t>
  </si>
  <si>
    <t>500-600</t>
  </si>
  <si>
    <t>до 400</t>
  </si>
  <si>
    <t>11 месяцев</t>
  </si>
  <si>
    <r>
      <t xml:space="preserve">Проект расчёта по услугам охраны на 11 месяцев 2017 года </t>
    </r>
    <r>
      <rPr>
        <b/>
        <sz val="14"/>
        <color rgb="FFFF0000"/>
        <rFont val="Arial"/>
        <family val="2"/>
        <charset val="204"/>
      </rPr>
      <t>(БЕЗ УВЕЛИЧЕНИЯ СТОИМОСТИ)</t>
    </r>
  </si>
  <si>
    <t>Стоимость оказания услуги на 11 месяцев 2017 года (проект), всего</t>
  </si>
  <si>
    <t xml:space="preserve">от 0 до 399 </t>
  </si>
  <si>
    <t>от 400 до 499</t>
  </si>
  <si>
    <t>от 500 до 599</t>
  </si>
  <si>
    <t>от 600 до 999</t>
  </si>
  <si>
    <t xml:space="preserve">от 1000 </t>
  </si>
  <si>
    <t xml:space="preserve">Схема </t>
  </si>
  <si>
    <t>ОУ</t>
  </si>
  <si>
    <t>ДОУ</t>
  </si>
  <si>
    <t>для Анжелики Викторовны</t>
  </si>
  <si>
    <t>Стоимость оказания услуги 2018 год (проект)</t>
  </si>
  <si>
    <t xml:space="preserve">12 мес. </t>
  </si>
  <si>
    <t>Сертолово, Молодцова, 1Б</t>
  </si>
  <si>
    <t>МДОБУ "ДСКВ №2"</t>
  </si>
  <si>
    <t>Всеволожск, проезд Березовая роща, 9</t>
  </si>
  <si>
    <t>МДОБУ "Муринский ДСКВ №1"</t>
  </si>
  <si>
    <t>п. Мурино, ул. Шоссе в Лаврики, 87/1</t>
  </si>
  <si>
    <t>МДОБУ "Муринский ДСКВ №2"</t>
  </si>
  <si>
    <t>п. Мурино, бул. Менделеева, 13</t>
  </si>
  <si>
    <t>п. Мурино, бул. Воронцовский, 6</t>
  </si>
  <si>
    <t>МДОБУ "Сертоловский ДСКВ№3"</t>
  </si>
  <si>
    <t>Сертолово, Кореловский пер., 2</t>
  </si>
  <si>
    <t>Коэффициент индексации 2018/2017</t>
  </si>
  <si>
    <t>итого с окр. до сотен</t>
  </si>
  <si>
    <t>в месяц (с окр. до сотни)</t>
  </si>
  <si>
    <t>Всеволожск, Московский пр., 23</t>
  </si>
  <si>
    <t>МОБУ "Муринская СОШ №3"</t>
  </si>
  <si>
    <t>п. Мурино, ул. Новая, 9</t>
  </si>
  <si>
    <t>д. Кудрово, Австрийская, 6</t>
  </si>
  <si>
    <t>в/г 61, 5</t>
  </si>
  <si>
    <t>д. Кудрово, Венская, 2</t>
  </si>
  <si>
    <t>д. Кудрово, Венская, 1</t>
  </si>
  <si>
    <t>п. Мурино, Менделеева, 3, пом 1 Н</t>
  </si>
  <si>
    <t>п. Мурино, Менделеева, 9, 2, 2 Н</t>
  </si>
  <si>
    <t>п. Лесное, 20</t>
  </si>
  <si>
    <t>п. Стеклянный, 45</t>
  </si>
  <si>
    <t>п. Лесное, 21</t>
  </si>
  <si>
    <t>д. Янино-1</t>
  </si>
  <si>
    <t>МБОУ "СОШ "Кудровский ЦО №1"</t>
  </si>
  <si>
    <t>МОБУ "СОШ Муринский ЦО №1"</t>
  </si>
  <si>
    <t>МОБУ "СОШ Агалатовский ЦО"</t>
  </si>
  <si>
    <t>д. Кудрово, Березовая, 2</t>
  </si>
  <si>
    <r>
      <t xml:space="preserve">Проект расчёта по услугам охраны на 2018 год </t>
    </r>
    <r>
      <rPr>
        <b/>
        <sz val="14"/>
        <color rgb="FFFF0000"/>
        <rFont val="Arial"/>
        <family val="2"/>
        <charset val="204"/>
      </rPr>
      <t>(первоначально - УВЕЛИЧЕНИЕ СТОИМОСТИ к 2017 году к=1,05)</t>
    </r>
  </si>
  <si>
    <r>
      <t xml:space="preserve">Стоимость </t>
    </r>
    <r>
      <rPr>
        <b/>
        <u/>
        <sz val="11"/>
        <rFont val="Arial"/>
        <family val="2"/>
        <charset val="204"/>
      </rPr>
      <t>(первоначальная)</t>
    </r>
    <r>
      <rPr>
        <b/>
        <sz val="11"/>
        <rFont val="Arial"/>
        <family val="2"/>
        <charset val="204"/>
      </rPr>
      <t xml:space="preserve"> оказания услуги на 12 месяцев 2018 года (проект), всего</t>
    </r>
  </si>
  <si>
    <t>д. Кудрово, Березовая, 0</t>
  </si>
  <si>
    <t>д. Кудрово, Европейский, 21</t>
  </si>
  <si>
    <t>д. Янино, Молодежный проезд, 2</t>
  </si>
  <si>
    <t xml:space="preserve">11 мес. </t>
  </si>
  <si>
    <r>
      <t xml:space="preserve">Проект расчёта по услугам охраны на 11 месяцев 2018 года </t>
    </r>
    <r>
      <rPr>
        <b/>
        <sz val="14"/>
        <color rgb="FFFF0000"/>
        <rFont val="Arial"/>
        <family val="2"/>
        <charset val="204"/>
      </rPr>
      <t>(первоначально - УВЕЛИЧЕНИЕ СТОИМОСТИ к 2017 году к=1,05)</t>
    </r>
  </si>
  <si>
    <r>
      <t xml:space="preserve">Стоимость </t>
    </r>
    <r>
      <rPr>
        <b/>
        <u/>
        <sz val="11"/>
        <rFont val="Arial"/>
        <family val="2"/>
        <charset val="204"/>
      </rPr>
      <t>(первоначальная)</t>
    </r>
    <r>
      <rPr>
        <b/>
        <sz val="11"/>
        <rFont val="Arial"/>
        <family val="2"/>
        <charset val="204"/>
      </rPr>
      <t xml:space="preserve"> оказания услуги на </t>
    </r>
    <r>
      <rPr>
        <b/>
        <sz val="11"/>
        <color rgb="FFFF0000"/>
        <rFont val="Arial"/>
        <family val="2"/>
        <charset val="204"/>
      </rPr>
      <t>11 месяцев</t>
    </r>
    <r>
      <rPr>
        <b/>
        <sz val="11"/>
        <rFont val="Arial"/>
        <family val="2"/>
        <charset val="204"/>
      </rPr>
      <t xml:space="preserve"> 2018 года (проект), всего</t>
    </r>
  </si>
  <si>
    <t>контроль</t>
  </si>
  <si>
    <t>п. Мурино, ал. Охтинская, 8, пом 7 Н</t>
  </si>
  <si>
    <t>2019 год</t>
  </si>
  <si>
    <t>д. Хапо-Ое, д.3а</t>
  </si>
  <si>
    <t>Сертолово, Кожемякина,11</t>
  </si>
  <si>
    <t>МОБУ "СОШ Муринский ЦО №2"</t>
  </si>
  <si>
    <t>МДОБУ "Муринский ДСКВ №3"</t>
  </si>
  <si>
    <t>п. Мурино, Менделеева,2,корп.3</t>
  </si>
  <si>
    <t>МДОБУ "Кудровский ДСКВ №1"</t>
  </si>
  <si>
    <t>г.Кудрово, Пражская,17</t>
  </si>
  <si>
    <t>МОУ "ЦППМиСП"</t>
  </si>
  <si>
    <t>Всеволожск, Центральная, 6</t>
  </si>
  <si>
    <t>Учреждения/Отделения дополнительного образования, прочие образовательные учреждения (местный бюджет)</t>
  </si>
  <si>
    <t>п. Мурино, Менделеева, д.9, к.3</t>
  </si>
  <si>
    <t>п. Мурино,  Менделеева, д.9, к.3</t>
  </si>
  <si>
    <t>п. Мурино,  Охтинская, 8, пом 7 Н</t>
  </si>
  <si>
    <t>п. Мурино, Менделеева, 13</t>
  </si>
  <si>
    <t>п. Мурино, Воронцовский, 6</t>
  </si>
  <si>
    <t>п. Мурино, Петровский, 11</t>
  </si>
  <si>
    <t>п. Мурино, Воронцовский, 10</t>
  </si>
  <si>
    <t>Всеволожск, Шишканя, 2</t>
  </si>
  <si>
    <t>Стоимость оказания услуги за месяц (расчетная цена), руб</t>
  </si>
  <si>
    <t>2018 год</t>
  </si>
  <si>
    <t>п. Мурино, Менделеева, 20, к.1</t>
  </si>
  <si>
    <t>п. Мурино, Менделеева, 12</t>
  </si>
  <si>
    <t>Стоимость</t>
  </si>
  <si>
    <t>дошкольное</t>
  </si>
  <si>
    <t>до 100 человек</t>
  </si>
  <si>
    <t>свыше 100 человек</t>
  </si>
  <si>
    <t>Рост</t>
  </si>
  <si>
    <t>до 400 человек</t>
  </si>
  <si>
    <t>400-500 человек</t>
  </si>
  <si>
    <t>500-600 человек</t>
  </si>
  <si>
    <t>600-1000 человек</t>
  </si>
  <si>
    <t>свыше 1000 человек</t>
  </si>
  <si>
    <t>школьное, дополнительное, прочие</t>
  </si>
  <si>
    <t>2019 г.</t>
  </si>
  <si>
    <t>2018 г.</t>
  </si>
  <si>
    <t>ПРИМЕЧАНИЕ:</t>
  </si>
  <si>
    <t>п. Мурино, Петровский, 12, к.2</t>
  </si>
  <si>
    <t>п. Мурино, Менделеева, 16</t>
  </si>
  <si>
    <t>п. Мурино, Новая, 9</t>
  </si>
  <si>
    <t>Всеволожск, Шишканя, 14</t>
  </si>
  <si>
    <t xml:space="preserve">Коэффициент индексации </t>
  </si>
  <si>
    <t xml:space="preserve">Коэффициент  индексации </t>
  </si>
  <si>
    <t xml:space="preserve">п.Мурино, Оборонная, 16 </t>
  </si>
  <si>
    <t xml:space="preserve">п.Мурино, Новая, 7/1 </t>
  </si>
  <si>
    <t>п.Мурино, д. Лаврики, 41</t>
  </si>
  <si>
    <t>п.Мурино, Новая, 7/4</t>
  </si>
  <si>
    <t>Всеволожск, Павловская, 81</t>
  </si>
  <si>
    <r>
      <t xml:space="preserve">Проект расчёта по услугам охраны с 1.01.2019 по 31.12.19 года </t>
    </r>
    <r>
      <rPr>
        <b/>
        <sz val="14"/>
        <color rgb="FFFF0000"/>
        <rFont val="Arial"/>
        <family val="2"/>
        <charset val="204"/>
      </rPr>
      <t>(первоначально - УВЕЛИЧЕНИЕ СТОИМОСТИ к 2018 году к=1,04)</t>
    </r>
  </si>
  <si>
    <t>Стоимость услуг охраны</t>
  </si>
  <si>
    <t>ВСЕГО                                            на 2019 год</t>
  </si>
  <si>
    <t>Токсовское шоссе, д. 2</t>
  </si>
  <si>
    <t>строительная площадка</t>
  </si>
  <si>
    <t>600-999</t>
  </si>
  <si>
    <t>Всеволожск, Д. Сотникова, 35, пом 1 Н</t>
  </si>
  <si>
    <t>2020 год</t>
  </si>
  <si>
    <t>Стоимость оказания услуги за месяц (расчетная цена), руб.</t>
  </si>
  <si>
    <t>К-т  инд. (19/18)</t>
  </si>
  <si>
    <t>К-т  инд. (20/19)</t>
  </si>
  <si>
    <t>с. Павлово, Быкова 4 лит А</t>
  </si>
  <si>
    <t>д. Старая, Школьный 14а</t>
  </si>
  <si>
    <t>500-599</t>
  </si>
  <si>
    <t>400-499</t>
  </si>
  <si>
    <t>д. Разметелево</t>
  </si>
  <si>
    <t>д. Ваганово (нач. школа)</t>
  </si>
  <si>
    <t>п. Грибное 21</t>
  </si>
  <si>
    <t>д. Ваганово, в/ч № 16, д. 20 лит ББ</t>
  </si>
  <si>
    <t>п. Свердлова, мкр 2, 33 (нач. школа)</t>
  </si>
  <si>
    <t>МОБУ "СОШ "Сертоловский ЦО №2"</t>
  </si>
  <si>
    <t>Сертолово, Школьная,1/1 нач. школа</t>
  </si>
  <si>
    <t xml:space="preserve">Всеволожск, Невская 10 </t>
  </si>
  <si>
    <t>МОБУ "СОШ Янинский ЦО"</t>
  </si>
  <si>
    <t>гп. Янино-1, Новая, 17</t>
  </si>
  <si>
    <t>гп. Янино, Молодежный проезд, 2</t>
  </si>
  <si>
    <t>г. Мурино, Авиаторов Балтики 1, 1, 1Н</t>
  </si>
  <si>
    <t>г. Мурино, Шувалова 4, 2</t>
  </si>
  <si>
    <t>г. Мурино, Менделеева, 9, 2, 2 Н</t>
  </si>
  <si>
    <t>г. Мурино, Менделеева, 3, пом 1 Н</t>
  </si>
  <si>
    <t>г. Мурино,  Охтинская, 8, пом 7 Н</t>
  </si>
  <si>
    <t>г. Мурино, Менделеева 11, к. 4, пом 41 Н</t>
  </si>
  <si>
    <t>г. Мурино, Менделеева, д.9, к.3</t>
  </si>
  <si>
    <t>г. Мурино,  Менделеева, д.9, к.3</t>
  </si>
  <si>
    <t>г. Мурино, Менделеева, 13</t>
  </si>
  <si>
    <t>г. Мурино, Менделеева, 16</t>
  </si>
  <si>
    <t>г. Мурино, Воронцовский, 6</t>
  </si>
  <si>
    <t>г. Мурино, Воронцовский, 10</t>
  </si>
  <si>
    <t>г. Мурино, Менделеева, 20, к.1</t>
  </si>
  <si>
    <t>г. Мурино, Менделеева, 12, к. 1</t>
  </si>
  <si>
    <t>г. Мурино, Петровский, 11, к. 2</t>
  </si>
  <si>
    <t>г. Мурино, Новая, 9</t>
  </si>
  <si>
    <t>г. Кудрово, Европейский, 3</t>
  </si>
  <si>
    <t>г. Кудрово, Европейский, 5</t>
  </si>
  <si>
    <t>г. Кудрово, Венская, 2</t>
  </si>
  <si>
    <t>г. Кудрово, Венская, 1</t>
  </si>
  <si>
    <t>г. Кудрово, Центральная, 48</t>
  </si>
  <si>
    <t>г. Кудрово, Австрийская, 6</t>
  </si>
  <si>
    <t>г. Кудрово, Европейский, 21</t>
  </si>
  <si>
    <t>г. Кудрово, Березовая, 1</t>
  </si>
  <si>
    <t>400-499 человек</t>
  </si>
  <si>
    <t>500-599 человек</t>
  </si>
  <si>
    <t>600-999 человек</t>
  </si>
  <si>
    <t>п. Романовка 21</t>
  </si>
  <si>
    <t xml:space="preserve">д. Новое Девяткино, Арсенальная, д. 1, лит А </t>
  </si>
  <si>
    <t xml:space="preserve">д. Новое Девяткино, Арсенальная, д. 7, лит А </t>
  </si>
  <si>
    <t xml:space="preserve">г.Мурино, Оборонная, 16 </t>
  </si>
  <si>
    <t xml:space="preserve">г.Мурино, Новая, 7/1 </t>
  </si>
  <si>
    <t>г.Мурино, Новая, 7/4</t>
  </si>
  <si>
    <t>г.Мурино, Скандинавский 4, к. 2</t>
  </si>
  <si>
    <t>г. Сертолово, Молодцова, 9А</t>
  </si>
  <si>
    <t>г. Сертолово, Молодцова, 1Б</t>
  </si>
  <si>
    <t>г. Сертолово, Кореловский пер., 2</t>
  </si>
  <si>
    <t>г. Сертолово, мкр Чёрная речка 22 корп. 2</t>
  </si>
  <si>
    <t>г. Сертолово, Д.Кожемякина, 9</t>
  </si>
  <si>
    <t>г. Сертолово, мкр Чёрная речка, ул. Верная 2</t>
  </si>
  <si>
    <t>г. Всеволожск, проезд Березовая роща, 9</t>
  </si>
  <si>
    <t>г. Мурино, ул. Шоссе в Лаврики, 87/1</t>
  </si>
  <si>
    <t>г. Мурино, Менделеева,2,корп.3</t>
  </si>
  <si>
    <t>г. Кудрово, Пражская,17</t>
  </si>
  <si>
    <t>г. Всеволожск, Героев, 5</t>
  </si>
  <si>
    <t>г. Кудрово, Столичная, 15</t>
  </si>
  <si>
    <t>г. Мурино, Петровский 12, к. 2</t>
  </si>
  <si>
    <t>г. Мурино, Графская 8</t>
  </si>
  <si>
    <t>г. Мурино, Графская 12</t>
  </si>
  <si>
    <t>г. Мурино, Шувалова 19, к. 2</t>
  </si>
  <si>
    <t>г. Мурино, Воронцовский, 14, к. 5</t>
  </si>
  <si>
    <t>Проект расчёта по услугам охраны на 2021 год ( с коэффициентом увеличения к 2020 1,02)</t>
  </si>
  <si>
    <t>МДОБУ "ДСКВ № 1" г. Всеволожска</t>
  </si>
  <si>
    <t>МДОУ "ДСКВ № 6" г. Всеволожска</t>
  </si>
  <si>
    <t>МДОУ"ЦРР-д/с № 4" г. Всеволожска</t>
  </si>
  <si>
    <t>МДОУ "ДСКВ № 10" г. Всеволожска</t>
  </si>
  <si>
    <t>МДОУ "ДСКВ № 12" п. Романовка</t>
  </si>
  <si>
    <t>МДОУ "ДСКВ № 13" п. Щеглово</t>
  </si>
  <si>
    <t>МДОУ "ДСКВ № 59" д. Н.Девяткино</t>
  </si>
  <si>
    <t>МДОУ "ДСКВ № 61" М.Стан</t>
  </si>
  <si>
    <t>МДОУ "ДСКВ № 62" д. Старая</t>
  </si>
  <si>
    <t>МДОБУ "Агалатовский ДСКВ № 1"</t>
  </si>
  <si>
    <t>МДОБУ "Сертоловский ДСКВ № 1"</t>
  </si>
  <si>
    <t>МДОБУ "Сертоловский ДСКВ № 2"</t>
  </si>
  <si>
    <t>МДОБУ "Сертоловский ДСКВ № 3"</t>
  </si>
  <si>
    <t>МДОБУ "Муринский ДСКВ № 1"</t>
  </si>
  <si>
    <t>МДОБУ "Муринский ДСКВ № 3"</t>
  </si>
  <si>
    <t>МДОБУ "Кудровский ДСКВ № 1"</t>
  </si>
  <si>
    <t>МДОБУ "Кудровский ДСКВ № 2"</t>
  </si>
  <si>
    <t>МДОБУ "Кудровский ДСКВ № 3"</t>
  </si>
  <si>
    <t>МДОБУ "ДСКВ № 2" г. Всеволожска</t>
  </si>
  <si>
    <t>МДОБУ "Муринский ДСКВ № 5"</t>
  </si>
  <si>
    <t>г. Кудрово, Европейский, 8б</t>
  </si>
  <si>
    <t>г. Кудрово, Областная, 9, к. 3</t>
  </si>
  <si>
    <t>г. Мурино, Шоссе в Лаврики, 57, к. 2</t>
  </si>
  <si>
    <t>г. Мурино, Воронцовский, 20, к. 3</t>
  </si>
  <si>
    <t>г. Мурино, Ручьевский, 9</t>
  </si>
  <si>
    <t>МОБУ "Муринский ЦО № 4"</t>
  </si>
  <si>
    <t>г. Мурино, Графская 13</t>
  </si>
  <si>
    <t>МОБУ "Бугровская СОШ № 2"</t>
  </si>
  <si>
    <t>МОБУ "Бугровская СОШ № 3"</t>
  </si>
  <si>
    <t>п. Бугры, Воронцовский 5, к. 6</t>
  </si>
  <si>
    <t>п. Бугры, Воронцовский 7, к. 6</t>
  </si>
  <si>
    <t>п. Бугры, Воронцовский 5, к. 7</t>
  </si>
  <si>
    <t>п. Бугры, ал. Ньютона, 6</t>
  </si>
  <si>
    <t>2021 год</t>
  </si>
  <si>
    <t>К-т  инд. (21/20)</t>
  </si>
  <si>
    <t>Стоимость услуг охраны на 2021 год</t>
  </si>
  <si>
    <t>Школьное отделение (местный бюджет)</t>
  </si>
  <si>
    <t>г. Кудрово, Областная, 5, к. 4</t>
  </si>
  <si>
    <t>Центральный:                                                                                  г.Всеволожск, п.Щеглово, п.Романовка, п.Рахья</t>
  </si>
  <si>
    <t>Южный:                                                                                  г.Кудрово, п.Янино, п.Колтуши, д.Разметелево, п.Свердлова, п.Морозова, п.Невская Дубровка</t>
  </si>
  <si>
    <t>гп. Янино-1, Новая, 27</t>
  </si>
  <si>
    <t>гп. Янино-1, Новая, 11а</t>
  </si>
  <si>
    <t>гп. Янино-1, Сырный проезд, 1</t>
  </si>
  <si>
    <t xml:space="preserve">Мурино-Бугры- Новое Девяткино                                                                                     </t>
  </si>
  <si>
    <t>Приозерское:                                                                                       г.Сертолово, п.Кузьмолово, п.Токсово, д.Агалатово, д.Вартемяги, д.Лесное, д.Осельки, д.Гарболово, д.Васкелово</t>
  </si>
  <si>
    <t>Всего постов охраны</t>
  </si>
  <si>
    <t>в/г 61,</t>
  </si>
  <si>
    <t>г. Мурино, Петровский бульвар,3,корп.1</t>
  </si>
  <si>
    <t>Стоимость услуг охраны с 1.02.2021 по 31.01.2022, всего:</t>
  </si>
  <si>
    <t>в том числе</t>
  </si>
  <si>
    <t>по объектам охраны</t>
  </si>
  <si>
    <t>по учреждениям (юридическим лицам</t>
  </si>
  <si>
    <t>Человеко-часы</t>
  </si>
  <si>
    <t>ИТОГО</t>
  </si>
  <si>
    <t>Стоимость человека-часа</t>
  </si>
  <si>
    <t>по объектам</t>
  </si>
  <si>
    <t>по юрлицу</t>
  </si>
  <si>
    <t>2022</t>
  </si>
  <si>
    <t>ВСЕГО                             по юрлицу</t>
  </si>
  <si>
    <t>по учреждениям (юрлицам) ПО СРЕДНЕЙ ЦЕНЕ</t>
  </si>
  <si>
    <t>г. Мурино, Петровский бул., 3, корп. 1</t>
  </si>
  <si>
    <t>г. Мурино, Шувалова, 9 НСТР</t>
  </si>
  <si>
    <t>г. Кудрово, Дубовая, 2</t>
  </si>
  <si>
    <t>гп. Янино-1, Молодежный проезд, 2</t>
  </si>
  <si>
    <t>гп. Янино-1, Ясная, 6</t>
  </si>
  <si>
    <t>школа, Сертолово 825 с 01.01.22</t>
  </si>
  <si>
    <t>школа, Кудрово 1100 с 01.01.22</t>
  </si>
  <si>
    <t>школа, Янино 825 с 01.01.22</t>
  </si>
  <si>
    <t>№№</t>
  </si>
  <si>
    <t>Наименование учреждений</t>
  </si>
  <si>
    <t>Часов в сутки</t>
  </si>
  <si>
    <t>наличие спецсредств у работника</t>
  </si>
  <si>
    <t>наличие служебного оружия у работника</t>
  </si>
  <si>
    <t>обеспечение порядка в местах проведения массовых мероприятий</t>
  </si>
  <si>
    <t>охрана объектов и (или) имущества, а также обеспечение внутриобъектового и пропускного режима на объектах, в отношении которых установлены обязательные для выполнения требования к антитеррористической защищенности</t>
  </si>
  <si>
    <t>Наличие допуска к гос.тайне работника и режимно-секретного подразделения</t>
  </si>
  <si>
    <t>Стоимость оказания услуги по защите жизни и здоровья граждан, предусмотренный контрактом (С зж)</t>
  </si>
  <si>
    <t>Дополнительные услуги (работы) п. 6 Порядка определения НМЦК</t>
  </si>
  <si>
    <t>Всеволожск, Героев, 5</t>
  </si>
  <si>
    <t>МРОТ, руб/мес</t>
  </si>
  <si>
    <t>Среднемесячное количество рабочих часов</t>
  </si>
  <si>
    <t>СНР час/мес</t>
  </si>
  <si>
    <t>Базовая ЗП</t>
  </si>
  <si>
    <t>БЗП, руб/час</t>
  </si>
  <si>
    <t>Срок оказания охранных услуг</t>
  </si>
  <si>
    <t>мес</t>
  </si>
  <si>
    <t>Режим работы поста (часов в сутки)</t>
  </si>
  <si>
    <t>час</t>
  </si>
  <si>
    <t>Доплата за работу в ночное время</t>
  </si>
  <si>
    <t>Дн, час</t>
  </si>
  <si>
    <t>Общее количество дней охраны</t>
  </si>
  <si>
    <t>день</t>
  </si>
  <si>
    <t>Количество нерабочих праздничных дней</t>
  </si>
  <si>
    <t>Доплата за работу в выходные и праздничные дни</t>
  </si>
  <si>
    <t>Д вп, час</t>
  </si>
  <si>
    <t>Резерв на отпуск</t>
  </si>
  <si>
    <t>РО, час</t>
  </si>
  <si>
    <t>Ставка страховых взносов</t>
  </si>
  <si>
    <t>Страховые взносы</t>
  </si>
  <si>
    <t>СВ, руб/час</t>
  </si>
  <si>
    <t>Корректирующий коэффициент</t>
  </si>
  <si>
    <t>U</t>
  </si>
  <si>
    <t>Прямые затраты</t>
  </si>
  <si>
    <t>Базовый коэффициент (U б)</t>
  </si>
  <si>
    <t>Количество часов работы работника по контракту на 1 посту охраны</t>
  </si>
  <si>
    <t>К и, час/мес</t>
  </si>
  <si>
    <t>n</t>
  </si>
  <si>
    <t>Косвенные расходы</t>
  </si>
  <si>
    <t>Прибыль</t>
  </si>
  <si>
    <t>П=((Си*Ки)+КР)*0,05, руб/мес</t>
  </si>
  <si>
    <t>КР=(Си*Ки)*0,2, руб/мес</t>
  </si>
  <si>
    <t>Налог на добавленную стоимость</t>
  </si>
  <si>
    <t>Индекс потребительских цен</t>
  </si>
  <si>
    <t>(Си*Ки)+КР+П)*Iинфл+НДС</t>
  </si>
  <si>
    <t>Y, %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</si>
  <si>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</si>
  <si>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</si>
  <si>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</si>
  <si>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</si>
  <si>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</si>
  <si>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</si>
  <si>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</si>
  <si>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</si>
  <si>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</si>
  <si>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</si>
  <si>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</si>
  <si>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</si>
  <si>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</si>
  <si>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</si>
  <si>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</si>
  <si>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</si>
  <si>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</si>
  <si>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</si>
  <si>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</si>
  <si>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</si>
  <si>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</si>
  <si>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</si>
  <si>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</si>
  <si>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</si>
  <si>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</si>
  <si>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</si>
  <si>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</si>
  <si>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</si>
  <si>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</si>
  <si>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</si>
  <si>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</si>
  <si>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</si>
  <si>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</si>
  <si>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Категория объекта</t>
  </si>
  <si>
    <r>
      <t xml:space="preserve">г. Кудрово, Европейский, 8, </t>
    </r>
    <r>
      <rPr>
        <sz val="12"/>
        <color rgb="FFFF0000"/>
        <rFont val="Arial"/>
        <family val="2"/>
        <charset val="204"/>
      </rPr>
      <t>НСТР</t>
    </r>
  </si>
  <si>
    <r>
      <t xml:space="preserve">г. Кудрово, Строителей, 22 </t>
    </r>
    <r>
      <rPr>
        <sz val="12"/>
        <color rgb="FFFF0000"/>
        <rFont val="Arial"/>
        <family val="2"/>
        <charset val="204"/>
      </rPr>
      <t>НСТР</t>
    </r>
  </si>
  <si>
    <r>
      <t xml:space="preserve">г. Мурино, Екатерининская, 8, корп. 2 </t>
    </r>
    <r>
      <rPr>
        <sz val="12"/>
        <color rgb="FFFF0000"/>
        <rFont val="Arial"/>
        <family val="2"/>
        <charset val="204"/>
      </rPr>
      <t>НСТР</t>
    </r>
  </si>
  <si>
    <r>
      <t xml:space="preserve">г. Мурино, ЖК "Трикита" </t>
    </r>
    <r>
      <rPr>
        <sz val="12"/>
        <color rgb="FFFF0000"/>
        <rFont val="Arial"/>
        <family val="2"/>
        <charset val="204"/>
      </rPr>
      <t>НСТР</t>
    </r>
  </si>
  <si>
    <r>
      <t xml:space="preserve">п. Бугры, ал. Ньютона, 8 </t>
    </r>
    <r>
      <rPr>
        <sz val="12"/>
        <color rgb="FFFF0000"/>
        <rFont val="Arial"/>
        <family val="2"/>
        <charset val="204"/>
      </rPr>
      <t>НСТР</t>
    </r>
  </si>
  <si>
    <r>
      <t xml:space="preserve">п. Осельки, дошк </t>
    </r>
    <r>
      <rPr>
        <sz val="12"/>
        <color rgb="FFFF0000"/>
        <rFont val="Arial"/>
        <family val="2"/>
        <charset val="204"/>
      </rPr>
      <t>НСТР</t>
    </r>
  </si>
  <si>
    <t>часов</t>
  </si>
  <si>
    <t>подтвердить (да/нет)</t>
  </si>
  <si>
    <t>Да/нет</t>
  </si>
  <si>
    <t>Х</t>
  </si>
  <si>
    <t>в/г 61</t>
  </si>
  <si>
    <t xml:space="preserve">в/г 61, 5 </t>
  </si>
  <si>
    <t xml:space="preserve">г. Кудрово, Березовая, 1 </t>
  </si>
  <si>
    <t xml:space="preserve">строительная площадка </t>
  </si>
  <si>
    <t>Возможеность перевода круглосуточного поста (24 часа) на 12 часов в сутки (да/нет)</t>
  </si>
  <si>
    <t xml:space="preserve">Наличие установленной автоматической охранной сигнализации, выведенной на пульт обслуживающей организации </t>
  </si>
  <si>
    <t>Для здания школы, имеющего несколько постов охраны в здании, проставить "Основной пост" и "Дополнительный пост"</t>
  </si>
  <si>
    <t>Охрана на 2022 год (проект)</t>
  </si>
  <si>
    <t>1</t>
  </si>
  <si>
    <t>2</t>
  </si>
  <si>
    <t>3</t>
  </si>
  <si>
    <r>
      <t xml:space="preserve">Дополнительные коэффициенты Uд (суммарное значение дополнительных коэффициентов </t>
    </r>
    <r>
      <rPr>
        <b/>
        <u/>
        <sz val="12"/>
        <rFont val="Times New Roman"/>
        <family val="1"/>
        <charset val="204"/>
      </rPr>
      <t>не может превышать 0,35)</t>
    </r>
  </si>
  <si>
    <t>I инфл (рассчитывается, как ср. арифметическое между индексами на каждый год срока действия контракта в соотв. с ПП РФ от 14.11.15 № 1234)</t>
  </si>
  <si>
    <t>НДС, руб/мес
((Си*Ки)+КР+П)*Iинфл)*0,2</t>
  </si>
  <si>
    <t>№</t>
  </si>
  <si>
    <t>Пост охраны в составе одного работника с режимом работы 24 часа</t>
  </si>
  <si>
    <t>Пост охраны в составе одного работника с режимом работы 12 часов</t>
  </si>
  <si>
    <t>Минимальный размер оплаты труда работника</t>
  </si>
  <si>
    <t>Доплата за работу в районах Крайнего Севера</t>
  </si>
  <si>
    <t>Дрк, час</t>
  </si>
  <si>
    <t>Стоимость выполнения работ по проектированию, монтажу и эксплуатационному обслуживанию технических средств охраны (С тсо)</t>
  </si>
  <si>
    <t>Си=(БЗП+Дн+Двп+Дрк+РО+СВ)*U, руб/час</t>
  </si>
  <si>
    <t>39</t>
  </si>
  <si>
    <t>нет</t>
  </si>
  <si>
    <t>-</t>
  </si>
  <si>
    <t>Начальная (максимальная) цена контракта с учетом человеко-часов</t>
  </si>
  <si>
    <t>Начальная (максимальная)  цена контракта с учетом человеко-часов за 1 час
рубль/человеко-час</t>
  </si>
  <si>
    <t>Количество человеко-часов за весь период оказания услуг</t>
  </si>
  <si>
    <t>40</t>
  </si>
  <si>
    <t>41</t>
  </si>
  <si>
    <t>42</t>
  </si>
  <si>
    <t>Стоимость за весь период оказания услуг  с учетом человеко-часов</t>
  </si>
  <si>
    <t>Период работы поста в ночное время (с 22:00 до 06:00)</t>
  </si>
  <si>
    <t>Затраты в месяц</t>
  </si>
  <si>
    <t>Затраты за весь период оказания услуг (округленно)</t>
  </si>
  <si>
    <t>Оказание услуг по охране объект, дневные часы  (с 6:00 до 22:00)</t>
  </si>
  <si>
    <t>Оказание услуг по охране объекта, ночные часы  (с 22:00 до 6:00)</t>
  </si>
  <si>
    <t>Оказание услуг по физической охране, обеспечению контрольно-пропускного режима и сохранности имущества в ГБОУ школа № 457  Выборгского района Санкт-Петербурга, в 2026г по адресу: Сиреневый бульвар, д.1, стр.1.</t>
  </si>
  <si>
    <t>Начальная (максимальная) цена контракта  составляет 325 053  рублей 08 копеек.</t>
  </si>
  <si>
    <t>ОБОСНОВАНИЕ НАЧАЛЬНОЙ (МАКСИМАЛЬНОЙ) ЦЕНЫ КОНТРАКТА (Затратный метод)
на основании приказа Росгвардии от 15.02.2021 N 45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охранных услуг"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</si>
</sst>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_-* #,##0.00_р_._-;\-* #,##0.00_р_._-;_-* &quot;-&quot;??_р_._-;_-@_-"/>
    <numFmt numFmtId="165" formatCode="#,##0.0_ ;[Red]\-#,##0.0\ "/>
    <numFmt numFmtId="166" formatCode="#,##0.00_ ;[Red]\-#,##0.00\ "/>
    <numFmt numFmtId="167" formatCode="#,##0_ ;[Red]\-#,##0\ "/>
    <numFmt numFmtId="168" formatCode="_(* #,##0.00_);_(* \(#,##0.00\);_(* &quot;-&quot;??_);_(@_)"/>
    <numFmt numFmtId="169" formatCode="#,##0.0"/>
    <numFmt numFmtId="170" formatCode="#,##0.000"/>
    <numFmt numFmtId="171" formatCode="0.0%"/>
    <numFmt numFmtId="172" formatCode="0.0"/>
    <numFmt numFmtId="173" formatCode="#,##0.0000"/>
    <numFmt numFmtId="174" formatCode="#,##0.00000"/>
  </numFmts>
  <fonts count="5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10"/>
      <name val="Helv"/>
      <charset val="204"/>
    </font>
    <font>
      <sz val="11"/>
      <color indexed="8"/>
      <name val="Calibri"/>
      <family val="2"/>
      <charset val="204"/>
    </font>
    <font>
      <b/>
      <sz val="8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b/>
      <sz val="8"/>
      <color theme="4" tint="-0.249977111117893"/>
      <name val="Times New Roman"/>
      <family val="1"/>
      <charset val="204"/>
    </font>
    <font>
      <sz val="14"/>
      <color theme="4" tint="-0.249977111117893"/>
      <name val="Times New Roman"/>
      <family val="1"/>
      <charset val="204"/>
    </font>
    <font>
      <sz val="10"/>
      <color theme="4" tint="-0.249977111117893"/>
      <name val="Times New Roman"/>
      <family val="1"/>
      <charset val="204"/>
    </font>
    <font>
      <sz val="12"/>
      <color theme="4" tint="-0.249977111117893"/>
      <name val="Times New Roman"/>
      <family val="1"/>
      <charset val="204"/>
    </font>
    <font>
      <b/>
      <sz val="14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sz val="14"/>
      <name val="Arial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sz val="12"/>
      <color indexed="8"/>
      <name val="Arial"/>
      <family val="2"/>
      <charset val="204"/>
    </font>
    <font>
      <b/>
      <sz val="10"/>
      <name val="Arial"/>
      <family val="2"/>
      <charset val="204"/>
    </font>
    <font>
      <sz val="10"/>
      <color theme="5" tint="-0.249977111117893"/>
      <name val="Arial"/>
      <family val="2"/>
      <charset val="204"/>
    </font>
    <font>
      <b/>
      <sz val="14"/>
      <color rgb="FFFF0000"/>
      <name val="Arial"/>
      <family val="2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  <font>
      <b/>
      <sz val="12"/>
      <color theme="1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u/>
      <sz val="11"/>
      <name val="Arial"/>
      <family val="2"/>
      <charset val="204"/>
    </font>
    <font>
      <sz val="14"/>
      <color theme="0"/>
      <name val="Arial"/>
      <family val="2"/>
      <charset val="204"/>
    </font>
    <font>
      <sz val="10"/>
      <color indexed="8"/>
      <name val="Arial"/>
      <family val="2"/>
      <charset val="204"/>
    </font>
    <font>
      <b/>
      <sz val="10"/>
      <color rgb="FFFF0000"/>
      <name val="Arial"/>
      <family val="2"/>
      <charset val="204"/>
    </font>
    <font>
      <b/>
      <sz val="11"/>
      <color rgb="FFFF0000"/>
      <name val="Arial"/>
      <family val="2"/>
      <charset val="204"/>
    </font>
    <font>
      <sz val="14"/>
      <color theme="0" tint="-0.249977111117893"/>
      <name val="Arial"/>
      <family val="2"/>
      <charset val="204"/>
    </font>
    <font>
      <sz val="11"/>
      <color theme="0" tint="-0.249977111117893"/>
      <name val="Arial"/>
      <family val="2"/>
      <charset val="204"/>
    </font>
    <font>
      <sz val="10"/>
      <color theme="0" tint="-0.249977111117893"/>
      <name val="Arial"/>
      <family val="2"/>
      <charset val="204"/>
    </font>
    <font>
      <sz val="12"/>
      <color theme="0" tint="-0.249977111117893"/>
      <name val="Arial"/>
      <family val="2"/>
      <charset val="204"/>
    </font>
    <font>
      <b/>
      <sz val="12"/>
      <color theme="0" tint="-0.249977111117893"/>
      <name val="Arial"/>
      <family val="2"/>
      <charset val="204"/>
    </font>
    <font>
      <sz val="12"/>
      <color theme="1"/>
      <name val="Arial"/>
      <family val="2"/>
      <charset val="204"/>
    </font>
    <font>
      <sz val="10"/>
      <color rgb="FFFF0000"/>
      <name val="Arial"/>
      <family val="2"/>
      <charset val="204"/>
    </font>
    <font>
      <b/>
      <sz val="12"/>
      <color theme="5" tint="-0.249977111117893"/>
      <name val="Arial"/>
      <family val="2"/>
      <charset val="204"/>
    </font>
    <font>
      <sz val="9"/>
      <name val="Arial"/>
      <family val="2"/>
      <charset val="204"/>
    </font>
    <font>
      <b/>
      <sz val="10"/>
      <color theme="0" tint="-0.249977111117893"/>
      <name val="Arial"/>
      <family val="2"/>
      <charset val="204"/>
    </font>
    <font>
      <b/>
      <sz val="9"/>
      <name val="Arial"/>
      <family val="2"/>
      <charset val="204"/>
    </font>
    <font>
      <b/>
      <sz val="9"/>
      <color theme="0" tint="-0.249977111117893"/>
      <name val="Arial"/>
      <family val="2"/>
      <charset val="204"/>
    </font>
    <font>
      <sz val="14"/>
      <color rgb="FFFF0000"/>
      <name val="Arial"/>
      <family val="2"/>
      <charset val="204"/>
    </font>
    <font>
      <sz val="12"/>
      <color rgb="FFFF0000"/>
      <name val="Arial"/>
      <family val="2"/>
      <charset val="204"/>
    </font>
    <font>
      <sz val="8"/>
      <name val="Arial Cyr"/>
      <charset val="204"/>
    </font>
    <font>
      <b/>
      <u/>
      <sz val="12"/>
      <name val="Times New Roman"/>
      <family val="1"/>
      <charset val="204"/>
    </font>
  </fonts>
  <fills count="2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8" fillId="0" borderId="0"/>
    <xf numFmtId="0" fontId="15" fillId="0" borderId="0"/>
    <xf numFmtId="0" fontId="1" fillId="0" borderId="0"/>
    <xf numFmtId="0" fontId="1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4" fontId="16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</cellStyleXfs>
  <cellXfs count="1299">
    <xf numFmtId="0" fontId="0" fillId="0" borderId="0" xfId="0"/>
    <xf numFmtId="0" fontId="2" fillId="0" borderId="0" xfId="0" applyFont="1"/>
    <xf numFmtId="0" fontId="3" fillId="0" borderId="0" xfId="0" applyFont="1"/>
    <xf numFmtId="3" fontId="4" fillId="0" borderId="0" xfId="0" applyNumberFormat="1" applyFont="1"/>
    <xf numFmtId="0" fontId="5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Alignment="1">
      <alignment wrapText="1"/>
    </xf>
    <xf numFmtId="3" fontId="3" fillId="0" borderId="0" xfId="0" applyNumberFormat="1" applyFont="1" applyAlignment="1">
      <alignment vertical="center"/>
    </xf>
    <xf numFmtId="3" fontId="4" fillId="0" borderId="4" xfId="0" applyNumberFormat="1" applyFont="1" applyBorder="1" applyAlignment="1">
      <alignment horizontal="right" vertical="center"/>
    </xf>
    <xf numFmtId="3" fontId="4" fillId="0" borderId="5" xfId="0" applyNumberFormat="1" applyFont="1" applyBorder="1" applyAlignment="1">
      <alignment vertical="center"/>
    </xf>
    <xf numFmtId="4" fontId="7" fillId="0" borderId="5" xfId="0" applyNumberFormat="1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3" fontId="4" fillId="0" borderId="6" xfId="0" applyNumberFormat="1" applyFont="1" applyBorder="1" applyAlignment="1">
      <alignment vertical="center"/>
    </xf>
    <xf numFmtId="0" fontId="2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/>
    </xf>
    <xf numFmtId="165" fontId="2" fillId="0" borderId="5" xfId="1" applyNumberFormat="1" applyFont="1" applyBorder="1" applyAlignment="1">
      <alignment horizontal="left" vertical="center" wrapText="1"/>
    </xf>
    <xf numFmtId="0" fontId="9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left" vertical="center"/>
    </xf>
    <xf numFmtId="3" fontId="2" fillId="0" borderId="0" xfId="0" applyNumberFormat="1" applyFont="1" applyAlignment="1">
      <alignment vertical="center"/>
    </xf>
    <xf numFmtId="3" fontId="2" fillId="0" borderId="5" xfId="0" applyNumberFormat="1" applyFont="1" applyBorder="1" applyAlignment="1">
      <alignment vertical="center"/>
    </xf>
    <xf numFmtId="3" fontId="2" fillId="0" borderId="6" xfId="0" applyNumberFormat="1" applyFont="1" applyBorder="1" applyAlignment="1">
      <alignment vertical="center"/>
    </xf>
    <xf numFmtId="3" fontId="4" fillId="0" borderId="5" xfId="1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2" borderId="5" xfId="0" applyFont="1" applyFill="1" applyBorder="1" applyAlignment="1">
      <alignment vertical="center"/>
    </xf>
    <xf numFmtId="0" fontId="5" fillId="0" borderId="5" xfId="0" applyFont="1" applyBorder="1" applyAlignment="1">
      <alignment horizontal="left" vertical="center"/>
    </xf>
    <xf numFmtId="3" fontId="5" fillId="0" borderId="5" xfId="1" applyNumberFormat="1" applyFont="1" applyBorder="1" applyAlignment="1">
      <alignment horizontal="right" vertical="center"/>
    </xf>
    <xf numFmtId="2" fontId="5" fillId="0" borderId="5" xfId="1" applyNumberFormat="1" applyFont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vertical="center"/>
    </xf>
    <xf numFmtId="0" fontId="4" fillId="0" borderId="5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20" xfId="0" applyFont="1" applyBorder="1"/>
    <xf numFmtId="0" fontId="2" fillId="0" borderId="11" xfId="0" applyFont="1" applyBorder="1"/>
    <xf numFmtId="0" fontId="2" fillId="0" borderId="17" xfId="0" applyFont="1" applyBorder="1"/>
    <xf numFmtId="4" fontId="4" fillId="0" borderId="11" xfId="1" applyNumberFormat="1" applyFont="1" applyBorder="1" applyAlignment="1">
      <alignment horizontal="right"/>
    </xf>
    <xf numFmtId="0" fontId="2" fillId="0" borderId="0" xfId="0" applyFont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12" fillId="0" borderId="0" xfId="0" applyFont="1" applyAlignment="1">
      <alignment vertical="top"/>
    </xf>
    <xf numFmtId="0" fontId="12" fillId="0" borderId="0" xfId="0" applyFont="1"/>
    <xf numFmtId="0" fontId="11" fillId="0" borderId="0" xfId="0" applyFont="1"/>
    <xf numFmtId="3" fontId="4" fillId="0" borderId="5" xfId="0" applyNumberFormat="1" applyFont="1" applyBorder="1" applyAlignment="1">
      <alignment horizontal="right" vertical="center"/>
    </xf>
    <xf numFmtId="0" fontId="17" fillId="0" borderId="5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0" xfId="0" applyFont="1"/>
    <xf numFmtId="166" fontId="5" fillId="0" borderId="5" xfId="1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left"/>
    </xf>
    <xf numFmtId="0" fontId="4" fillId="0" borderId="9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18" fillId="0" borderId="0" xfId="0" applyFont="1" applyAlignment="1">
      <alignment horizontal="left"/>
    </xf>
    <xf numFmtId="3" fontId="4" fillId="0" borderId="36" xfId="1" applyNumberFormat="1" applyFont="1" applyBorder="1" applyAlignment="1">
      <alignment horizontal="right"/>
    </xf>
    <xf numFmtId="3" fontId="4" fillId="0" borderId="30" xfId="1" applyNumberFormat="1" applyFont="1" applyBorder="1" applyAlignment="1">
      <alignment horizontal="right" vertical="center"/>
    </xf>
    <xf numFmtId="0" fontId="4" fillId="0" borderId="30" xfId="0" applyFont="1" applyBorder="1" applyAlignment="1">
      <alignment horizontal="left" vertical="center"/>
    </xf>
    <xf numFmtId="3" fontId="4" fillId="0" borderId="30" xfId="0" applyNumberFormat="1" applyFont="1" applyBorder="1" applyAlignment="1">
      <alignment vertical="center"/>
    </xf>
    <xf numFmtId="3" fontId="18" fillId="0" borderId="0" xfId="1" applyNumberFormat="1" applyFont="1" applyAlignment="1">
      <alignment horizontal="right" vertical="center"/>
    </xf>
    <xf numFmtId="3" fontId="18" fillId="0" borderId="0" xfId="1" applyNumberFormat="1" applyFont="1" applyAlignment="1">
      <alignment horizontal="right"/>
    </xf>
    <xf numFmtId="0" fontId="18" fillId="0" borderId="0" xfId="0" applyFont="1" applyAlignment="1">
      <alignment horizontal="left" vertical="center"/>
    </xf>
    <xf numFmtId="3" fontId="18" fillId="0" borderId="0" xfId="0" applyNumberFormat="1" applyFont="1" applyAlignment="1">
      <alignment vertical="center"/>
    </xf>
    <xf numFmtId="0" fontId="5" fillId="3" borderId="5" xfId="0" applyFont="1" applyFill="1" applyBorder="1" applyAlignment="1">
      <alignment vertical="center"/>
    </xf>
    <xf numFmtId="3" fontId="18" fillId="2" borderId="0" xfId="1" applyNumberFormat="1" applyFont="1" applyFill="1" applyAlignment="1">
      <alignment horizontal="right" vertical="center"/>
    </xf>
    <xf numFmtId="3" fontId="18" fillId="2" borderId="0" xfId="0" applyNumberFormat="1" applyFont="1" applyFill="1" applyAlignment="1">
      <alignment vertical="center"/>
    </xf>
    <xf numFmtId="0" fontId="4" fillId="4" borderId="6" xfId="0" applyFont="1" applyFill="1" applyBorder="1" applyAlignment="1">
      <alignment vertical="center"/>
    </xf>
    <xf numFmtId="0" fontId="4" fillId="4" borderId="5" xfId="0" applyFont="1" applyFill="1" applyBorder="1" applyAlignment="1">
      <alignment vertical="center" wrapText="1"/>
    </xf>
    <xf numFmtId="0" fontId="10" fillId="4" borderId="5" xfId="0" applyFont="1" applyFill="1" applyBorder="1" applyAlignment="1">
      <alignment vertical="center" wrapText="1"/>
    </xf>
    <xf numFmtId="2" fontId="4" fillId="4" borderId="5" xfId="1" applyNumberFormat="1" applyFont="1" applyFill="1" applyBorder="1" applyAlignment="1">
      <alignment vertical="center"/>
    </xf>
    <xf numFmtId="3" fontId="4" fillId="4" borderId="5" xfId="1" applyNumberFormat="1" applyFont="1" applyFill="1" applyBorder="1" applyAlignment="1">
      <alignment horizontal="right" vertical="center"/>
    </xf>
    <xf numFmtId="3" fontId="4" fillId="4" borderId="30" xfId="1" applyNumberFormat="1" applyFont="1" applyFill="1" applyBorder="1" applyAlignment="1">
      <alignment horizontal="right" vertical="center"/>
    </xf>
    <xf numFmtId="3" fontId="4" fillId="4" borderId="0" xfId="1" applyNumberFormat="1" applyFont="1" applyFill="1" applyAlignment="1">
      <alignment horizontal="right" vertical="center"/>
    </xf>
    <xf numFmtId="3" fontId="4" fillId="4" borderId="31" xfId="1" applyNumberFormat="1" applyFont="1" applyFill="1" applyBorder="1" applyAlignment="1">
      <alignment horizontal="right" vertical="center"/>
    </xf>
    <xf numFmtId="3" fontId="4" fillId="4" borderId="6" xfId="1" applyNumberFormat="1" applyFont="1" applyFill="1" applyBorder="1" applyAlignment="1">
      <alignment horizontal="right" vertical="center"/>
    </xf>
    <xf numFmtId="3" fontId="4" fillId="4" borderId="4" xfId="1" applyNumberFormat="1" applyFont="1" applyFill="1" applyBorder="1" applyAlignment="1">
      <alignment horizontal="right" vertical="center"/>
    </xf>
    <xf numFmtId="0" fontId="3" fillId="4" borderId="0" xfId="0" applyFont="1" applyFill="1" applyAlignment="1">
      <alignment vertical="center"/>
    </xf>
    <xf numFmtId="0" fontId="4" fillId="4" borderId="9" xfId="0" applyFont="1" applyFill="1" applyBorder="1" applyAlignment="1">
      <alignment vertical="center"/>
    </xf>
    <xf numFmtId="0" fontId="4" fillId="4" borderId="7" xfId="0" applyFont="1" applyFill="1" applyBorder="1" applyAlignment="1">
      <alignment vertical="center" wrapText="1"/>
    </xf>
    <xf numFmtId="0" fontId="4" fillId="4" borderId="10" xfId="0" applyFont="1" applyFill="1" applyBorder="1" applyAlignment="1">
      <alignment vertical="center"/>
    </xf>
    <xf numFmtId="3" fontId="4" fillId="4" borderId="5" xfId="0" applyNumberFormat="1" applyFont="1" applyFill="1" applyBorder="1" applyAlignment="1">
      <alignment vertical="center"/>
    </xf>
    <xf numFmtId="3" fontId="4" fillId="4" borderId="30" xfId="0" applyNumberFormat="1" applyFont="1" applyFill="1" applyBorder="1" applyAlignment="1">
      <alignment vertical="center"/>
    </xf>
    <xf numFmtId="3" fontId="4" fillId="4" borderId="0" xfId="0" applyNumberFormat="1" applyFont="1" applyFill="1" applyAlignment="1">
      <alignment vertical="center"/>
    </xf>
    <xf numFmtId="3" fontId="18" fillId="4" borderId="0" xfId="0" applyNumberFormat="1" applyFont="1" applyFill="1" applyAlignment="1">
      <alignment vertical="center"/>
    </xf>
    <xf numFmtId="3" fontId="4" fillId="4" borderId="6" xfId="0" applyNumberFormat="1" applyFont="1" applyFill="1" applyBorder="1" applyAlignment="1">
      <alignment vertical="center"/>
    </xf>
    <xf numFmtId="3" fontId="4" fillId="4" borderId="4" xfId="0" applyNumberFormat="1" applyFont="1" applyFill="1" applyBorder="1" applyAlignment="1">
      <alignment vertical="center"/>
    </xf>
    <xf numFmtId="3" fontId="3" fillId="4" borderId="0" xfId="0" applyNumberFormat="1" applyFont="1" applyFill="1" applyAlignment="1">
      <alignment vertical="center"/>
    </xf>
    <xf numFmtId="0" fontId="4" fillId="4" borderId="5" xfId="0" applyFont="1" applyFill="1" applyBorder="1" applyAlignment="1">
      <alignment vertical="center"/>
    </xf>
    <xf numFmtId="0" fontId="4" fillId="5" borderId="3" xfId="0" applyFont="1" applyFill="1" applyBorder="1" applyAlignment="1">
      <alignment vertical="center"/>
    </xf>
    <xf numFmtId="0" fontId="4" fillId="5" borderId="2" xfId="0" applyFont="1" applyFill="1" applyBorder="1" applyAlignment="1">
      <alignment vertical="center" wrapText="1"/>
    </xf>
    <xf numFmtId="0" fontId="4" fillId="5" borderId="2" xfId="0" applyFont="1" applyFill="1" applyBorder="1" applyAlignment="1">
      <alignment vertical="center"/>
    </xf>
    <xf numFmtId="3" fontId="4" fillId="5" borderId="2" xfId="0" applyNumberFormat="1" applyFont="1" applyFill="1" applyBorder="1" applyAlignment="1">
      <alignment vertical="center"/>
    </xf>
    <xf numFmtId="3" fontId="4" fillId="5" borderId="35" xfId="0" applyNumberFormat="1" applyFont="1" applyFill="1" applyBorder="1" applyAlignment="1">
      <alignment vertical="center"/>
    </xf>
    <xf numFmtId="3" fontId="4" fillId="5" borderId="3" xfId="0" applyNumberFormat="1" applyFont="1" applyFill="1" applyBorder="1" applyAlignment="1">
      <alignment vertical="center"/>
    </xf>
    <xf numFmtId="3" fontId="4" fillId="5" borderId="1" xfId="0" applyNumberFormat="1" applyFont="1" applyFill="1" applyBorder="1" applyAlignment="1">
      <alignment vertical="center"/>
    </xf>
    <xf numFmtId="3" fontId="3" fillId="5" borderId="0" xfId="0" applyNumberFormat="1" applyFont="1" applyFill="1" applyAlignment="1">
      <alignment vertical="center"/>
    </xf>
    <xf numFmtId="0" fontId="4" fillId="0" borderId="30" xfId="0" applyFont="1" applyBorder="1" applyAlignment="1">
      <alignment vertical="center"/>
    </xf>
    <xf numFmtId="3" fontId="4" fillId="4" borderId="9" xfId="0" applyNumberFormat="1" applyFont="1" applyFill="1" applyBorder="1" applyAlignment="1">
      <alignment vertical="center"/>
    </xf>
    <xf numFmtId="0" fontId="18" fillId="0" borderId="0" xfId="0" applyFont="1"/>
    <xf numFmtId="0" fontId="18" fillId="2" borderId="0" xfId="0" applyFont="1" applyFill="1"/>
    <xf numFmtId="3" fontId="18" fillId="0" borderId="0" xfId="0" applyNumberFormat="1" applyFont="1"/>
    <xf numFmtId="3" fontId="18" fillId="2" borderId="0" xfId="0" applyNumberFormat="1" applyFont="1" applyFill="1"/>
    <xf numFmtId="3" fontId="18" fillId="4" borderId="0" xfId="1" applyNumberFormat="1" applyFont="1" applyFill="1" applyAlignment="1">
      <alignment horizontal="right" vertical="center"/>
    </xf>
    <xf numFmtId="0" fontId="18" fillId="0" borderId="0" xfId="0" applyFont="1" applyAlignment="1">
      <alignment vertical="center"/>
    </xf>
    <xf numFmtId="0" fontId="18" fillId="2" borderId="0" xfId="0" applyFont="1" applyFill="1" applyAlignment="1">
      <alignment vertical="center"/>
    </xf>
    <xf numFmtId="3" fontId="4" fillId="4" borderId="7" xfId="1" applyNumberFormat="1" applyFont="1" applyFill="1" applyBorder="1" applyAlignment="1">
      <alignment horizontal="right" vertical="center"/>
    </xf>
    <xf numFmtId="3" fontId="18" fillId="0" borderId="29" xfId="0" applyNumberFormat="1" applyFont="1" applyBorder="1" applyAlignment="1">
      <alignment vertical="center"/>
    </xf>
    <xf numFmtId="3" fontId="18" fillId="4" borderId="29" xfId="1" applyNumberFormat="1" applyFont="1" applyFill="1" applyBorder="1" applyAlignment="1">
      <alignment horizontal="right" vertical="center"/>
    </xf>
    <xf numFmtId="3" fontId="4" fillId="4" borderId="8" xfId="0" applyNumberFormat="1" applyFont="1" applyFill="1" applyBorder="1" applyAlignment="1">
      <alignment vertical="center"/>
    </xf>
    <xf numFmtId="3" fontId="4" fillId="5" borderId="22" xfId="0" applyNumberFormat="1" applyFont="1" applyFill="1" applyBorder="1" applyAlignment="1">
      <alignment vertical="center"/>
    </xf>
    <xf numFmtId="0" fontId="7" fillId="0" borderId="0" xfId="0" applyFont="1"/>
    <xf numFmtId="3" fontId="18" fillId="0" borderId="33" xfId="1" applyNumberFormat="1" applyFont="1" applyBorder="1" applyAlignment="1">
      <alignment horizontal="right" vertical="center"/>
    </xf>
    <xf numFmtId="3" fontId="18" fillId="2" borderId="33" xfId="1" applyNumberFormat="1" applyFont="1" applyFill="1" applyBorder="1" applyAlignment="1">
      <alignment horizontal="right" vertical="center"/>
    </xf>
    <xf numFmtId="3" fontId="18" fillId="0" borderId="33" xfId="0" applyNumberFormat="1" applyFont="1" applyBorder="1" applyAlignment="1">
      <alignment vertical="center"/>
    </xf>
    <xf numFmtId="3" fontId="18" fillId="2" borderId="33" xfId="0" applyNumberFormat="1" applyFont="1" applyFill="1" applyBorder="1" applyAlignment="1">
      <alignment vertical="center"/>
    </xf>
    <xf numFmtId="0" fontId="2" fillId="0" borderId="36" xfId="0" applyFont="1" applyBorder="1"/>
    <xf numFmtId="0" fontId="5" fillId="0" borderId="30" xfId="0" applyFont="1" applyBorder="1" applyAlignment="1">
      <alignment vertical="center"/>
    </xf>
    <xf numFmtId="0" fontId="2" fillId="0" borderId="30" xfId="0" applyFont="1" applyBorder="1" applyAlignment="1">
      <alignment vertical="center"/>
    </xf>
    <xf numFmtId="3" fontId="2" fillId="0" borderId="30" xfId="0" applyNumberFormat="1" applyFont="1" applyBorder="1" applyAlignment="1">
      <alignment vertical="center"/>
    </xf>
    <xf numFmtId="3" fontId="4" fillId="4" borderId="31" xfId="0" applyNumberFormat="1" applyFont="1" applyFill="1" applyBorder="1" applyAlignment="1">
      <alignment vertical="center"/>
    </xf>
    <xf numFmtId="3" fontId="4" fillId="5" borderId="39" xfId="0" applyNumberFormat="1" applyFont="1" applyFill="1" applyBorder="1" applyAlignment="1">
      <alignment vertical="center"/>
    </xf>
    <xf numFmtId="0" fontId="12" fillId="2" borderId="0" xfId="0" applyFont="1" applyFill="1"/>
    <xf numFmtId="0" fontId="2" fillId="2" borderId="0" xfId="0" applyFont="1" applyFill="1"/>
    <xf numFmtId="0" fontId="20" fillId="0" borderId="0" xfId="0" applyFont="1"/>
    <xf numFmtId="0" fontId="20" fillId="2" borderId="0" xfId="0" applyFont="1" applyFill="1"/>
    <xf numFmtId="0" fontId="21" fillId="0" borderId="0" xfId="0" applyFont="1"/>
    <xf numFmtId="0" fontId="21" fillId="2" borderId="0" xfId="0" applyFont="1" applyFill="1"/>
    <xf numFmtId="0" fontId="22" fillId="0" borderId="0" xfId="0" applyFont="1" applyAlignment="1">
      <alignment vertical="center"/>
    </xf>
    <xf numFmtId="0" fontId="22" fillId="2" borderId="0" xfId="0" applyFont="1" applyFill="1" applyAlignment="1">
      <alignment vertical="center"/>
    </xf>
    <xf numFmtId="0" fontId="21" fillId="0" borderId="0" xfId="0" applyFont="1" applyAlignment="1">
      <alignment vertical="center"/>
    </xf>
    <xf numFmtId="0" fontId="21" fillId="2" borderId="0" xfId="0" applyFont="1" applyFill="1" applyAlignment="1">
      <alignment vertical="center"/>
    </xf>
    <xf numFmtId="3" fontId="21" fillId="0" borderId="0" xfId="0" applyNumberFormat="1" applyFont="1" applyAlignment="1">
      <alignment vertical="center"/>
    </xf>
    <xf numFmtId="3" fontId="21" fillId="2" borderId="0" xfId="0" applyNumberFormat="1" applyFont="1" applyFill="1" applyAlignment="1">
      <alignment vertical="center"/>
    </xf>
    <xf numFmtId="0" fontId="21" fillId="0" borderId="29" xfId="0" applyFont="1" applyBorder="1"/>
    <xf numFmtId="0" fontId="22" fillId="0" borderId="29" xfId="0" applyFont="1" applyBorder="1" applyAlignment="1">
      <alignment vertical="center"/>
    </xf>
    <xf numFmtId="0" fontId="21" fillId="0" borderId="29" xfId="0" applyFont="1" applyBorder="1" applyAlignment="1">
      <alignment vertical="center"/>
    </xf>
    <xf numFmtId="3" fontId="21" fillId="0" borderId="29" xfId="0" applyNumberFormat="1" applyFont="1" applyBorder="1" applyAlignment="1">
      <alignment vertical="center"/>
    </xf>
    <xf numFmtId="3" fontId="4" fillId="0" borderId="2" xfId="0" applyNumberFormat="1" applyFont="1" applyBorder="1" applyAlignment="1">
      <alignment horizontal="center" vertical="top" wrapText="1"/>
    </xf>
    <xf numFmtId="3" fontId="19" fillId="0" borderId="2" xfId="1" applyNumberFormat="1" applyFont="1" applyBorder="1" applyAlignment="1">
      <alignment horizontal="center" vertical="top" wrapText="1"/>
    </xf>
    <xf numFmtId="3" fontId="19" fillId="2" borderId="2" xfId="1" applyNumberFormat="1" applyFont="1" applyFill="1" applyBorder="1" applyAlignment="1">
      <alignment horizontal="center" vertical="top" wrapText="1"/>
    </xf>
    <xf numFmtId="3" fontId="19" fillId="0" borderId="35" xfId="1" applyNumberFormat="1" applyFont="1" applyBorder="1" applyAlignment="1">
      <alignment horizontal="center" vertical="top" wrapText="1"/>
    </xf>
    <xf numFmtId="0" fontId="4" fillId="0" borderId="22" xfId="0" applyFont="1" applyBorder="1" applyAlignment="1">
      <alignment horizontal="center" vertical="top" wrapText="1"/>
    </xf>
    <xf numFmtId="3" fontId="19" fillId="0" borderId="22" xfId="1" applyNumberFormat="1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3" fontId="4" fillId="2" borderId="31" xfId="1" applyNumberFormat="1" applyFont="1" applyFill="1" applyBorder="1" applyAlignment="1">
      <alignment horizontal="right" vertical="center"/>
    </xf>
    <xf numFmtId="3" fontId="4" fillId="2" borderId="31" xfId="0" applyNumberFormat="1" applyFont="1" applyFill="1" applyBorder="1" applyAlignment="1">
      <alignment vertical="center"/>
    </xf>
    <xf numFmtId="3" fontId="4" fillId="2" borderId="39" xfId="0" applyNumberFormat="1" applyFont="1" applyFill="1" applyBorder="1" applyAlignment="1">
      <alignment vertical="center"/>
    </xf>
    <xf numFmtId="0" fontId="11" fillId="0" borderId="1" xfId="0" applyFont="1" applyBorder="1" applyAlignment="1">
      <alignment horizontal="center" vertical="top" wrapText="1"/>
    </xf>
    <xf numFmtId="0" fontId="2" fillId="0" borderId="29" xfId="0" applyFont="1" applyBorder="1"/>
    <xf numFmtId="3" fontId="5" fillId="0" borderId="0" xfId="0" applyNumberFormat="1" applyFont="1" applyAlignment="1">
      <alignment vertical="center"/>
    </xf>
    <xf numFmtId="3" fontId="5" fillId="2" borderId="0" xfId="0" applyNumberFormat="1" applyFont="1" applyFill="1" applyAlignment="1">
      <alignment vertical="center"/>
    </xf>
    <xf numFmtId="3" fontId="5" fillId="0" borderId="29" xfId="0" applyNumberFormat="1" applyFont="1" applyBorder="1" applyAlignment="1">
      <alignment vertical="center"/>
    </xf>
    <xf numFmtId="3" fontId="3" fillId="0" borderId="0" xfId="0" applyNumberFormat="1" applyFont="1"/>
    <xf numFmtId="3" fontId="4" fillId="0" borderId="0" xfId="0" applyNumberFormat="1" applyFont="1" applyAlignment="1">
      <alignment horizontal="left"/>
    </xf>
    <xf numFmtId="0" fontId="5" fillId="6" borderId="5" xfId="0" applyFont="1" applyFill="1" applyBorder="1" applyAlignment="1">
      <alignment vertical="center"/>
    </xf>
    <xf numFmtId="0" fontId="23" fillId="0" borderId="0" xfId="0" applyFont="1"/>
    <xf numFmtId="0" fontId="24" fillId="0" borderId="0" xfId="0" applyFont="1" applyAlignment="1">
      <alignment wrapText="1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left"/>
    </xf>
    <xf numFmtId="0" fontId="25" fillId="0" borderId="0" xfId="0" applyFont="1" applyAlignment="1">
      <alignment horizontal="left"/>
    </xf>
    <xf numFmtId="0" fontId="24" fillId="0" borderId="0" xfId="0" applyFont="1"/>
    <xf numFmtId="3" fontId="25" fillId="0" borderId="0" xfId="0" applyNumberFormat="1" applyFont="1"/>
    <xf numFmtId="0" fontId="25" fillId="0" borderId="0" xfId="0" applyFont="1"/>
    <xf numFmtId="0" fontId="26" fillId="0" borderId="0" xfId="0" applyFont="1"/>
    <xf numFmtId="4" fontId="25" fillId="0" borderId="43" xfId="1" applyNumberFormat="1" applyFont="1" applyBorder="1" applyAlignment="1">
      <alignment horizontal="right"/>
    </xf>
    <xf numFmtId="3" fontId="25" fillId="0" borderId="41" xfId="1" applyNumberFormat="1" applyFont="1" applyBorder="1" applyAlignment="1">
      <alignment horizontal="right"/>
    </xf>
    <xf numFmtId="0" fontId="29" fillId="0" borderId="40" xfId="0" applyFont="1" applyBorder="1"/>
    <xf numFmtId="0" fontId="24" fillId="0" borderId="37" xfId="0" applyFont="1" applyBorder="1"/>
    <xf numFmtId="3" fontId="25" fillId="0" borderId="37" xfId="0" applyNumberFormat="1" applyFont="1" applyBorder="1"/>
    <xf numFmtId="0" fontId="8" fillId="0" borderId="0" xfId="0" applyFont="1"/>
    <xf numFmtId="0" fontId="24" fillId="0" borderId="27" xfId="0" applyFont="1" applyBorder="1" applyAlignment="1">
      <alignment vertical="center"/>
    </xf>
    <xf numFmtId="3" fontId="25" fillId="0" borderId="27" xfId="1" applyNumberFormat="1" applyFont="1" applyBorder="1" applyAlignment="1">
      <alignment horizontal="right" vertical="center"/>
    </xf>
    <xf numFmtId="3" fontId="25" fillId="0" borderId="26" xfId="1" applyNumberFormat="1" applyFont="1" applyBorder="1" applyAlignment="1">
      <alignment horizontal="right" vertical="center"/>
    </xf>
    <xf numFmtId="0" fontId="24" fillId="0" borderId="5" xfId="0" applyFont="1" applyBorder="1" applyAlignment="1">
      <alignment vertical="center"/>
    </xf>
    <xf numFmtId="3" fontId="25" fillId="0" borderId="5" xfId="0" applyNumberFormat="1" applyFont="1" applyBorder="1" applyAlignment="1">
      <alignment vertical="center"/>
    </xf>
    <xf numFmtId="3" fontId="25" fillId="0" borderId="30" xfId="0" applyNumberFormat="1" applyFont="1" applyBorder="1" applyAlignment="1">
      <alignment vertical="center"/>
    </xf>
    <xf numFmtId="0" fontId="24" fillId="0" borderId="6" xfId="0" applyFont="1" applyBorder="1" applyAlignment="1">
      <alignment vertical="center"/>
    </xf>
    <xf numFmtId="3" fontId="8" fillId="0" borderId="0" xfId="0" applyNumberFormat="1" applyFont="1" applyAlignment="1">
      <alignment vertical="center"/>
    </xf>
    <xf numFmtId="0" fontId="24" fillId="0" borderId="0" xfId="0" applyFont="1" applyAlignment="1">
      <alignment vertical="center"/>
    </xf>
    <xf numFmtId="3" fontId="25" fillId="0" borderId="5" xfId="1" applyNumberFormat="1" applyFont="1" applyBorder="1" applyAlignment="1">
      <alignment horizontal="right" vertical="center"/>
    </xf>
    <xf numFmtId="3" fontId="25" fillId="0" borderId="30" xfId="1" applyNumberFormat="1" applyFont="1" applyBorder="1" applyAlignment="1">
      <alignment horizontal="right" vertical="center"/>
    </xf>
    <xf numFmtId="0" fontId="25" fillId="0" borderId="6" xfId="0" applyFont="1" applyBorder="1" applyAlignment="1">
      <alignment vertical="center"/>
    </xf>
    <xf numFmtId="3" fontId="30" fillId="0" borderId="0" xfId="0" applyNumberFormat="1" applyFont="1"/>
    <xf numFmtId="0" fontId="30" fillId="0" borderId="0" xfId="0" applyFont="1" applyAlignment="1">
      <alignment vertical="center"/>
    </xf>
    <xf numFmtId="0" fontId="25" fillId="0" borderId="10" xfId="0" applyFont="1" applyBorder="1" applyAlignment="1">
      <alignment horizontal="left" vertical="center"/>
    </xf>
    <xf numFmtId="0" fontId="25" fillId="0" borderId="5" xfId="0" applyFont="1" applyBorder="1" applyAlignment="1">
      <alignment horizontal="left" vertical="center"/>
    </xf>
    <xf numFmtId="0" fontId="25" fillId="0" borderId="30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0" xfId="0" applyFont="1" applyAlignment="1">
      <alignment vertical="center"/>
    </xf>
    <xf numFmtId="2" fontId="24" fillId="0" borderId="5" xfId="1" applyNumberFormat="1" applyFont="1" applyBorder="1" applyAlignment="1">
      <alignment vertical="center"/>
    </xf>
    <xf numFmtId="3" fontId="24" fillId="0" borderId="5" xfId="1" applyNumberFormat="1" applyFont="1" applyBorder="1" applyAlignment="1">
      <alignment horizontal="right" vertical="center"/>
    </xf>
    <xf numFmtId="3" fontId="24" fillId="0" borderId="5" xfId="0" applyNumberFormat="1" applyFont="1" applyBorder="1" applyAlignment="1">
      <alignment horizontal="right" vertical="center"/>
    </xf>
    <xf numFmtId="3" fontId="25" fillId="0" borderId="5" xfId="0" applyNumberFormat="1" applyFont="1" applyBorder="1" applyAlignment="1">
      <alignment horizontal="right" vertical="center"/>
    </xf>
    <xf numFmtId="3" fontId="30" fillId="0" borderId="0" xfId="0" applyNumberFormat="1" applyFont="1" applyAlignment="1">
      <alignment vertical="center"/>
    </xf>
    <xf numFmtId="3" fontId="25" fillId="0" borderId="0" xfId="0" applyNumberFormat="1" applyFont="1" applyAlignment="1">
      <alignment horizontal="left"/>
    </xf>
    <xf numFmtId="0" fontId="30" fillId="0" borderId="0" xfId="0" applyFont="1"/>
    <xf numFmtId="0" fontId="33" fillId="0" borderId="0" xfId="0" applyFont="1" applyAlignment="1">
      <alignment vertical="top" wrapText="1"/>
    </xf>
    <xf numFmtId="0" fontId="33" fillId="0" borderId="0" xfId="0" applyFont="1" applyAlignment="1">
      <alignment horizontal="center" vertical="top" wrapText="1"/>
    </xf>
    <xf numFmtId="3" fontId="34" fillId="0" borderId="2" xfId="0" applyNumberFormat="1" applyFont="1" applyBorder="1" applyAlignment="1">
      <alignment horizontal="center" vertical="top" wrapText="1"/>
    </xf>
    <xf numFmtId="0" fontId="24" fillId="0" borderId="21" xfId="0" applyFont="1" applyBorder="1" applyAlignment="1">
      <alignment horizontal="center" vertical="center"/>
    </xf>
    <xf numFmtId="0" fontId="24" fillId="0" borderId="5" xfId="0" applyFont="1" applyBorder="1" applyAlignment="1">
      <alignment horizontal="left" vertical="center"/>
    </xf>
    <xf numFmtId="0" fontId="25" fillId="0" borderId="9" xfId="0" applyFont="1" applyBorder="1" applyAlignment="1">
      <alignment horizontal="left" vertical="center"/>
    </xf>
    <xf numFmtId="0" fontId="25" fillId="0" borderId="7" xfId="0" applyFont="1" applyBorder="1" applyAlignment="1">
      <alignment horizontal="left" vertical="center"/>
    </xf>
    <xf numFmtId="166" fontId="24" fillId="0" borderId="5" xfId="1" applyNumberFormat="1" applyFont="1" applyBorder="1" applyAlignment="1">
      <alignment horizontal="left" vertical="center"/>
    </xf>
    <xf numFmtId="0" fontId="25" fillId="0" borderId="37" xfId="0" applyFont="1" applyBorder="1" applyAlignment="1">
      <alignment horizontal="left"/>
    </xf>
    <xf numFmtId="3" fontId="23" fillId="0" borderId="0" xfId="0" applyNumberFormat="1" applyFont="1" applyAlignment="1">
      <alignment horizontal="center" vertical="center"/>
    </xf>
    <xf numFmtId="3" fontId="23" fillId="0" borderId="0" xfId="0" applyNumberFormat="1" applyFont="1" applyAlignment="1">
      <alignment vertical="center"/>
    </xf>
    <xf numFmtId="0" fontId="24" fillId="7" borderId="0" xfId="0" applyFont="1" applyFill="1"/>
    <xf numFmtId="0" fontId="24" fillId="7" borderId="0" xfId="0" applyFont="1" applyFill="1" applyAlignment="1">
      <alignment wrapText="1"/>
    </xf>
    <xf numFmtId="0" fontId="24" fillId="7" borderId="0" xfId="0" applyFont="1" applyFill="1" applyAlignment="1">
      <alignment horizontal="left"/>
    </xf>
    <xf numFmtId="0" fontId="25" fillId="7" borderId="0" xfId="0" applyFont="1" applyFill="1" applyAlignment="1">
      <alignment horizontal="left"/>
    </xf>
    <xf numFmtId="3" fontId="25" fillId="7" borderId="0" xfId="0" applyNumberFormat="1" applyFont="1" applyFill="1"/>
    <xf numFmtId="0" fontId="25" fillId="7" borderId="0" xfId="0" applyFont="1" applyFill="1"/>
    <xf numFmtId="0" fontId="8" fillId="7" borderId="0" xfId="0" applyFont="1" applyFill="1"/>
    <xf numFmtId="0" fontId="24" fillId="7" borderId="0" xfId="0" applyFont="1" applyFill="1" applyAlignment="1">
      <alignment horizontal="center"/>
    </xf>
    <xf numFmtId="3" fontId="24" fillId="7" borderId="5" xfId="0" applyNumberFormat="1" applyFont="1" applyFill="1" applyBorder="1" applyAlignment="1">
      <alignment horizontal="right"/>
    </xf>
    <xf numFmtId="3" fontId="25" fillId="7" borderId="5" xfId="0" applyNumberFormat="1" applyFont="1" applyFill="1" applyBorder="1" applyAlignment="1">
      <alignment horizontal="right"/>
    </xf>
    <xf numFmtId="0" fontId="24" fillId="7" borderId="5" xfId="0" applyFont="1" applyFill="1" applyBorder="1" applyAlignment="1">
      <alignment wrapText="1"/>
    </xf>
    <xf numFmtId="0" fontId="24" fillId="7" borderId="5" xfId="0" applyFont="1" applyFill="1" applyBorder="1" applyAlignment="1">
      <alignment horizontal="left"/>
    </xf>
    <xf numFmtId="0" fontId="25" fillId="7" borderId="5" xfId="0" applyFont="1" applyFill="1" applyBorder="1" applyAlignment="1">
      <alignment horizontal="left"/>
    </xf>
    <xf numFmtId="0" fontId="25" fillId="7" borderId="5" xfId="0" applyFont="1" applyFill="1" applyBorder="1" applyAlignment="1">
      <alignment horizontal="right"/>
    </xf>
    <xf numFmtId="0" fontId="24" fillId="7" borderId="5" xfId="0" applyFont="1" applyFill="1" applyBorder="1" applyAlignment="1">
      <alignment horizontal="right"/>
    </xf>
    <xf numFmtId="0" fontId="8" fillId="7" borderId="5" xfId="0" applyFont="1" applyFill="1" applyBorder="1" applyAlignment="1">
      <alignment horizontal="right"/>
    </xf>
    <xf numFmtId="0" fontId="25" fillId="0" borderId="0" xfId="0" applyFont="1" applyAlignment="1">
      <alignment vertical="center"/>
    </xf>
    <xf numFmtId="3" fontId="25" fillId="0" borderId="0" xfId="0" applyNumberFormat="1" applyFont="1" applyAlignment="1">
      <alignment vertical="center"/>
    </xf>
    <xf numFmtId="3" fontId="25" fillId="0" borderId="0" xfId="1" applyNumberFormat="1" applyFont="1" applyAlignment="1">
      <alignment horizontal="right" vertical="center"/>
    </xf>
    <xf numFmtId="3" fontId="25" fillId="0" borderId="0" xfId="0" applyNumberFormat="1" applyFont="1" applyAlignment="1">
      <alignment horizontal="right" vertical="center"/>
    </xf>
    <xf numFmtId="0" fontId="31" fillId="0" borderId="0" xfId="0" applyFont="1"/>
    <xf numFmtId="3" fontId="31" fillId="0" borderId="0" xfId="0" applyNumberFormat="1" applyFont="1"/>
    <xf numFmtId="3" fontId="8" fillId="0" borderId="0" xfId="0" applyNumberFormat="1" applyFont="1"/>
    <xf numFmtId="0" fontId="25" fillId="7" borderId="0" xfId="0" applyFont="1" applyFill="1" applyAlignment="1">
      <alignment wrapText="1"/>
    </xf>
    <xf numFmtId="3" fontId="30" fillId="7" borderId="0" xfId="0" applyNumberFormat="1" applyFont="1" applyFill="1"/>
    <xf numFmtId="0" fontId="25" fillId="7" borderId="6" xfId="0" applyFont="1" applyFill="1" applyBorder="1" applyAlignment="1">
      <alignment vertical="center"/>
    </xf>
    <xf numFmtId="0" fontId="25" fillId="7" borderId="5" xfId="0" applyFont="1" applyFill="1" applyBorder="1" applyAlignment="1">
      <alignment vertical="center"/>
    </xf>
    <xf numFmtId="2" fontId="25" fillId="7" borderId="5" xfId="1" applyNumberFormat="1" applyFont="1" applyFill="1" applyBorder="1" applyAlignment="1">
      <alignment vertical="center"/>
    </xf>
    <xf numFmtId="3" fontId="25" fillId="7" borderId="5" xfId="1" applyNumberFormat="1" applyFont="1" applyFill="1" applyBorder="1" applyAlignment="1">
      <alignment horizontal="right" vertical="center"/>
    </xf>
    <xf numFmtId="3" fontId="25" fillId="7" borderId="6" xfId="1" applyNumberFormat="1" applyFont="1" applyFill="1" applyBorder="1" applyAlignment="1">
      <alignment horizontal="right" vertical="center"/>
    </xf>
    <xf numFmtId="3" fontId="25" fillId="7" borderId="30" xfId="1" applyNumberFormat="1" applyFont="1" applyFill="1" applyBorder="1" applyAlignment="1">
      <alignment horizontal="right" vertical="center"/>
    </xf>
    <xf numFmtId="0" fontId="25" fillId="7" borderId="9" xfId="0" applyFont="1" applyFill="1" applyBorder="1" applyAlignment="1">
      <alignment vertical="center"/>
    </xf>
    <xf numFmtId="0" fontId="25" fillId="7" borderId="7" xfId="0" applyFont="1" applyFill="1" applyBorder="1" applyAlignment="1">
      <alignment vertical="center"/>
    </xf>
    <xf numFmtId="0" fontId="25" fillId="7" borderId="10" xfId="0" applyFont="1" applyFill="1" applyBorder="1" applyAlignment="1">
      <alignment vertical="center"/>
    </xf>
    <xf numFmtId="3" fontId="25" fillId="7" borderId="5" xfId="0" applyNumberFormat="1" applyFont="1" applyFill="1" applyBorder="1" applyAlignment="1">
      <alignment vertical="center"/>
    </xf>
    <xf numFmtId="3" fontId="25" fillId="7" borderId="6" xfId="0" applyNumberFormat="1" applyFont="1" applyFill="1" applyBorder="1" applyAlignment="1">
      <alignment vertical="center"/>
    </xf>
    <xf numFmtId="3" fontId="25" fillId="7" borderId="30" xfId="0" applyNumberFormat="1" applyFont="1" applyFill="1" applyBorder="1" applyAlignment="1">
      <alignment vertical="center"/>
    </xf>
    <xf numFmtId="3" fontId="24" fillId="0" borderId="0" xfId="0" applyNumberFormat="1" applyFont="1"/>
    <xf numFmtId="0" fontId="8" fillId="0" borderId="18" xfId="0" applyFont="1" applyBorder="1"/>
    <xf numFmtId="0" fontId="8" fillId="0" borderId="13" xfId="0" applyFont="1" applyBorder="1"/>
    <xf numFmtId="0" fontId="8" fillId="0" borderId="42" xfId="0" applyFont="1" applyBorder="1"/>
    <xf numFmtId="3" fontId="25" fillId="0" borderId="49" xfId="0" applyNumberFormat="1" applyFont="1" applyBorder="1" applyAlignment="1">
      <alignment horizontal="right" vertical="center"/>
    </xf>
    <xf numFmtId="3" fontId="25" fillId="0" borderId="4" xfId="0" applyNumberFormat="1" applyFont="1" applyBorder="1" applyAlignment="1">
      <alignment horizontal="right" vertical="center"/>
    </xf>
    <xf numFmtId="3" fontId="25" fillId="7" borderId="4" xfId="0" applyNumberFormat="1" applyFont="1" applyFill="1" applyBorder="1" applyAlignment="1">
      <alignment horizontal="right" vertical="center"/>
    </xf>
    <xf numFmtId="0" fontId="30" fillId="0" borderId="18" xfId="0" applyFont="1" applyBorder="1"/>
    <xf numFmtId="0" fontId="24" fillId="7" borderId="27" xfId="0" applyFont="1" applyFill="1" applyBorder="1" applyAlignment="1">
      <alignment wrapText="1"/>
    </xf>
    <xf numFmtId="3" fontId="24" fillId="7" borderId="27" xfId="0" applyNumberFormat="1" applyFont="1" applyFill="1" applyBorder="1" applyAlignment="1">
      <alignment horizontal="right"/>
    </xf>
    <xf numFmtId="3" fontId="25" fillId="7" borderId="27" xfId="0" applyNumberFormat="1" applyFont="1" applyFill="1" applyBorder="1" applyAlignment="1">
      <alignment horizontal="right"/>
    </xf>
    <xf numFmtId="0" fontId="24" fillId="7" borderId="27" xfId="0" applyFont="1" applyFill="1" applyBorder="1" applyAlignment="1">
      <alignment horizontal="left"/>
    </xf>
    <xf numFmtId="0" fontId="25" fillId="7" borderId="27" xfId="0" applyFont="1" applyFill="1" applyBorder="1" applyAlignment="1">
      <alignment horizontal="right"/>
    </xf>
    <xf numFmtId="0" fontId="24" fillId="7" borderId="27" xfId="0" applyFont="1" applyFill="1" applyBorder="1" applyAlignment="1">
      <alignment horizontal="right"/>
    </xf>
    <xf numFmtId="0" fontId="8" fillId="7" borderId="27" xfId="0" applyFont="1" applyFill="1" applyBorder="1" applyAlignment="1">
      <alignment horizontal="right"/>
    </xf>
    <xf numFmtId="0" fontId="25" fillId="7" borderId="3" xfId="0" applyFont="1" applyFill="1" applyBorder="1"/>
    <xf numFmtId="0" fontId="25" fillId="7" borderId="2" xfId="0" applyFont="1" applyFill="1" applyBorder="1" applyAlignment="1">
      <alignment wrapText="1"/>
    </xf>
    <xf numFmtId="3" fontId="25" fillId="7" borderId="2" xfId="0" applyNumberFormat="1" applyFont="1" applyFill="1" applyBorder="1" applyAlignment="1">
      <alignment horizontal="right"/>
    </xf>
    <xf numFmtId="0" fontId="25" fillId="7" borderId="2" xfId="0" applyFont="1" applyFill="1" applyBorder="1" applyAlignment="1">
      <alignment horizontal="left"/>
    </xf>
    <xf numFmtId="0" fontId="25" fillId="7" borderId="2" xfId="0" applyFont="1" applyFill="1" applyBorder="1"/>
    <xf numFmtId="3" fontId="25" fillId="7" borderId="2" xfId="0" applyNumberFormat="1" applyFont="1" applyFill="1" applyBorder="1"/>
    <xf numFmtId="0" fontId="30" fillId="7" borderId="2" xfId="0" applyFont="1" applyFill="1" applyBorder="1"/>
    <xf numFmtId="3" fontId="25" fillId="7" borderId="22" xfId="0" applyNumberFormat="1" applyFont="1" applyFill="1" applyBorder="1" applyAlignment="1">
      <alignment horizontal="right"/>
    </xf>
    <xf numFmtId="0" fontId="8" fillId="7" borderId="26" xfId="0" applyFont="1" applyFill="1" applyBorder="1" applyAlignment="1">
      <alignment horizontal="right"/>
    </xf>
    <xf numFmtId="0" fontId="8" fillId="7" borderId="30" xfId="0" applyFont="1" applyFill="1" applyBorder="1" applyAlignment="1">
      <alignment horizontal="right"/>
    </xf>
    <xf numFmtId="3" fontId="24" fillId="7" borderId="30" xfId="0" applyNumberFormat="1" applyFont="1" applyFill="1" applyBorder="1" applyAlignment="1">
      <alignment horizontal="right"/>
    </xf>
    <xf numFmtId="3" fontId="25" fillId="7" borderId="35" xfId="0" applyNumberFormat="1" applyFont="1" applyFill="1" applyBorder="1" applyAlignment="1">
      <alignment horizontal="right"/>
    </xf>
    <xf numFmtId="3" fontId="25" fillId="7" borderId="49" xfId="0" applyNumberFormat="1" applyFont="1" applyFill="1" applyBorder="1" applyAlignment="1">
      <alignment horizontal="right" vertical="center"/>
    </xf>
    <xf numFmtId="3" fontId="25" fillId="7" borderId="1" xfId="0" applyNumberFormat="1" applyFont="1" applyFill="1" applyBorder="1" applyAlignment="1">
      <alignment horizontal="right"/>
    </xf>
    <xf numFmtId="0" fontId="8" fillId="7" borderId="50" xfId="0" applyFont="1" applyFill="1" applyBorder="1" applyAlignment="1">
      <alignment horizontal="right"/>
    </xf>
    <xf numFmtId="0" fontId="8" fillId="7" borderId="10" xfId="0" applyFont="1" applyFill="1" applyBorder="1" applyAlignment="1">
      <alignment horizontal="right"/>
    </xf>
    <xf numFmtId="0" fontId="30" fillId="7" borderId="48" xfId="0" applyFont="1" applyFill="1" applyBorder="1"/>
    <xf numFmtId="0" fontId="24" fillId="7" borderId="28" xfId="0" applyFont="1" applyFill="1" applyBorder="1" applyAlignment="1">
      <alignment horizontal="right"/>
    </xf>
    <xf numFmtId="3" fontId="25" fillId="7" borderId="47" xfId="0" applyNumberFormat="1" applyFont="1" applyFill="1" applyBorder="1" applyAlignment="1">
      <alignment horizontal="right"/>
    </xf>
    <xf numFmtId="0" fontId="24" fillId="7" borderId="6" xfId="0" applyFont="1" applyFill="1" applyBorder="1" applyAlignment="1">
      <alignment horizontal="right"/>
    </xf>
    <xf numFmtId="3" fontId="25" fillId="7" borderId="8" xfId="0" applyNumberFormat="1" applyFont="1" applyFill="1" applyBorder="1" applyAlignment="1">
      <alignment horizontal="right"/>
    </xf>
    <xf numFmtId="3" fontId="25" fillId="7" borderId="3" xfId="0" applyNumberFormat="1" applyFont="1" applyFill="1" applyBorder="1" applyAlignment="1">
      <alignment horizontal="right"/>
    </xf>
    <xf numFmtId="0" fontId="24" fillId="7" borderId="26" xfId="0" applyFont="1" applyFill="1" applyBorder="1"/>
    <xf numFmtId="0" fontId="24" fillId="7" borderId="30" xfId="0" applyFont="1" applyFill="1" applyBorder="1"/>
    <xf numFmtId="0" fontId="25" fillId="7" borderId="35" xfId="0" applyFont="1" applyFill="1" applyBorder="1" applyAlignment="1">
      <alignment wrapText="1"/>
    </xf>
    <xf numFmtId="3" fontId="24" fillId="7" borderId="28" xfId="0" applyNumberFormat="1" applyFont="1" applyFill="1" applyBorder="1" applyAlignment="1">
      <alignment horizontal="right"/>
    </xf>
    <xf numFmtId="3" fontId="24" fillId="7" borderId="6" xfId="0" applyNumberFormat="1" applyFont="1" applyFill="1" applyBorder="1" applyAlignment="1">
      <alignment horizontal="right"/>
    </xf>
    <xf numFmtId="0" fontId="24" fillId="7" borderId="6" xfId="0" applyFont="1" applyFill="1" applyBorder="1" applyAlignment="1">
      <alignment horizontal="center"/>
    </xf>
    <xf numFmtId="0" fontId="25" fillId="7" borderId="3" xfId="0" applyFont="1" applyFill="1" applyBorder="1" applyAlignment="1">
      <alignment horizontal="center"/>
    </xf>
    <xf numFmtId="0" fontId="25" fillId="7" borderId="3" xfId="0" applyFont="1" applyFill="1" applyBorder="1" applyAlignment="1">
      <alignment vertical="center"/>
    </xf>
    <xf numFmtId="0" fontId="25" fillId="7" borderId="2" xfId="0" applyFont="1" applyFill="1" applyBorder="1" applyAlignment="1">
      <alignment vertical="center"/>
    </xf>
    <xf numFmtId="3" fontId="25" fillId="7" borderId="2" xfId="0" applyNumberFormat="1" applyFont="1" applyFill="1" applyBorder="1" applyAlignment="1">
      <alignment vertical="center"/>
    </xf>
    <xf numFmtId="3" fontId="25" fillId="7" borderId="2" xfId="1" applyNumberFormat="1" applyFont="1" applyFill="1" applyBorder="1" applyAlignment="1">
      <alignment horizontal="right" vertical="center"/>
    </xf>
    <xf numFmtId="3" fontId="25" fillId="7" borderId="35" xfId="0" applyNumberFormat="1" applyFont="1" applyFill="1" applyBorder="1" applyAlignment="1">
      <alignment vertical="center"/>
    </xf>
    <xf numFmtId="3" fontId="25" fillId="7" borderId="3" xfId="0" applyNumberFormat="1" applyFont="1" applyFill="1" applyBorder="1" applyAlignment="1">
      <alignment vertical="center"/>
    </xf>
    <xf numFmtId="3" fontId="25" fillId="7" borderId="1" xfId="0" applyNumberFormat="1" applyFont="1" applyFill="1" applyBorder="1" applyAlignment="1">
      <alignment horizontal="right" vertical="center"/>
    </xf>
    <xf numFmtId="0" fontId="24" fillId="0" borderId="6" xfId="0" applyFont="1" applyBorder="1" applyAlignment="1">
      <alignment horizontal="right" vertical="center"/>
    </xf>
    <xf numFmtId="0" fontId="8" fillId="0" borderId="6" xfId="0" applyFont="1" applyBorder="1" applyAlignment="1">
      <alignment horizontal="right" vertical="center"/>
    </xf>
    <xf numFmtId="0" fontId="24" fillId="0" borderId="27" xfId="0" applyFont="1" applyBorder="1" applyAlignment="1">
      <alignment horizontal="right" vertical="center"/>
    </xf>
    <xf numFmtId="0" fontId="29" fillId="0" borderId="28" xfId="0" applyFont="1" applyBorder="1" applyAlignment="1">
      <alignment horizontal="right" vertical="center"/>
    </xf>
    <xf numFmtId="3" fontId="25" fillId="0" borderId="27" xfId="0" applyNumberFormat="1" applyFont="1" applyBorder="1" applyAlignment="1">
      <alignment horizontal="right" vertical="center"/>
    </xf>
    <xf numFmtId="3" fontId="25" fillId="0" borderId="26" xfId="0" applyNumberFormat="1" applyFont="1" applyBorder="1" applyAlignment="1">
      <alignment horizontal="right" vertical="center"/>
    </xf>
    <xf numFmtId="0" fontId="24" fillId="0" borderId="28" xfId="0" applyFont="1" applyBorder="1" applyAlignment="1">
      <alignment horizontal="right" vertical="center"/>
    </xf>
    <xf numFmtId="0" fontId="24" fillId="0" borderId="26" xfId="0" applyFont="1" applyBorder="1" applyAlignment="1">
      <alignment horizontal="right" vertical="center"/>
    </xf>
    <xf numFmtId="0" fontId="24" fillId="0" borderId="5" xfId="0" applyFont="1" applyBorder="1" applyAlignment="1">
      <alignment horizontal="right" vertical="center"/>
    </xf>
    <xf numFmtId="0" fontId="29" fillId="0" borderId="6" xfId="0" applyFont="1" applyBorder="1" applyAlignment="1">
      <alignment horizontal="right" vertical="center"/>
    </xf>
    <xf numFmtId="3" fontId="25" fillId="0" borderId="30" xfId="0" applyNumberFormat="1" applyFont="1" applyBorder="1" applyAlignment="1">
      <alignment horizontal="right" vertical="center"/>
    </xf>
    <xf numFmtId="0" fontId="24" fillId="0" borderId="30" xfId="0" applyFont="1" applyBorder="1" applyAlignment="1">
      <alignment horizontal="right" vertical="center"/>
    </xf>
    <xf numFmtId="0" fontId="8" fillId="0" borderId="5" xfId="0" applyFont="1" applyBorder="1" applyAlignment="1">
      <alignment horizontal="right" vertical="center"/>
    </xf>
    <xf numFmtId="0" fontId="8" fillId="0" borderId="30" xfId="0" applyFont="1" applyBorder="1" applyAlignment="1">
      <alignment horizontal="right" vertical="center"/>
    </xf>
    <xf numFmtId="3" fontId="8" fillId="0" borderId="6" xfId="0" applyNumberFormat="1" applyFont="1" applyBorder="1" applyAlignment="1">
      <alignment horizontal="right" vertical="center"/>
    </xf>
    <xf numFmtId="3" fontId="8" fillId="0" borderId="5" xfId="0" applyNumberFormat="1" applyFont="1" applyBorder="1" applyAlignment="1">
      <alignment horizontal="right" vertical="center"/>
    </xf>
    <xf numFmtId="3" fontId="8" fillId="0" borderId="30" xfId="0" applyNumberFormat="1" applyFont="1" applyBorder="1" applyAlignment="1">
      <alignment horizontal="right" vertical="center"/>
    </xf>
    <xf numFmtId="3" fontId="25" fillId="0" borderId="6" xfId="0" applyNumberFormat="1" applyFont="1" applyBorder="1" applyAlignment="1">
      <alignment horizontal="right" vertical="center"/>
    </xf>
    <xf numFmtId="4" fontId="24" fillId="0" borderId="5" xfId="0" applyNumberFormat="1" applyFont="1" applyBorder="1" applyAlignment="1">
      <alignment horizontal="right" vertical="center"/>
    </xf>
    <xf numFmtId="3" fontId="35" fillId="0" borderId="5" xfId="0" applyNumberFormat="1" applyFont="1" applyBorder="1" applyAlignment="1">
      <alignment horizontal="right" vertical="center"/>
    </xf>
    <xf numFmtId="0" fontId="36" fillId="0" borderId="22" xfId="0" applyFont="1" applyBorder="1" applyAlignment="1">
      <alignment horizontal="center" vertical="top" wrapText="1"/>
    </xf>
    <xf numFmtId="0" fontId="24" fillId="7" borderId="5" xfId="0" applyFont="1" applyFill="1" applyBorder="1" applyAlignment="1">
      <alignment horizontal="left" vertical="center"/>
    </xf>
    <xf numFmtId="0" fontId="24" fillId="7" borderId="6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3" fontId="24" fillId="0" borderId="0" xfId="0" applyNumberFormat="1" applyFont="1" applyAlignment="1">
      <alignment horizontal="right"/>
    </xf>
    <xf numFmtId="0" fontId="24" fillId="0" borderId="0" xfId="0" applyFont="1" applyAlignment="1">
      <alignment horizontal="right"/>
    </xf>
    <xf numFmtId="0" fontId="25" fillId="0" borderId="0" xfId="0" applyFont="1" applyAlignment="1">
      <alignment wrapText="1"/>
    </xf>
    <xf numFmtId="0" fontId="24" fillId="8" borderId="5" xfId="0" applyFont="1" applyFill="1" applyBorder="1" applyAlignment="1">
      <alignment horizontal="right" vertical="center"/>
    </xf>
    <xf numFmtId="3" fontId="25" fillId="8" borderId="30" xfId="0" applyNumberFormat="1" applyFont="1" applyFill="1" applyBorder="1" applyAlignment="1">
      <alignment horizontal="right" vertical="center"/>
    </xf>
    <xf numFmtId="3" fontId="25" fillId="0" borderId="37" xfId="1" applyNumberFormat="1" applyFont="1" applyBorder="1" applyAlignment="1">
      <alignment horizontal="right"/>
    </xf>
    <xf numFmtId="0" fontId="24" fillId="0" borderId="6" xfId="0" applyFont="1" applyBorder="1" applyAlignment="1">
      <alignment horizontal="left" vertical="center"/>
    </xf>
    <xf numFmtId="4" fontId="25" fillId="0" borderId="0" xfId="0" applyNumberFormat="1" applyFont="1" applyAlignment="1">
      <alignment vertical="center"/>
    </xf>
    <xf numFmtId="0" fontId="30" fillId="0" borderId="0" xfId="0" applyFont="1" applyAlignment="1">
      <alignment horizontal="right"/>
    </xf>
    <xf numFmtId="0" fontId="25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169" fontId="25" fillId="0" borderId="27" xfId="1" applyNumberFormat="1" applyFont="1" applyBorder="1" applyAlignment="1">
      <alignment horizontal="right" vertical="center"/>
    </xf>
    <xf numFmtId="169" fontId="25" fillId="0" borderId="5" xfId="1" applyNumberFormat="1" applyFont="1" applyBorder="1" applyAlignment="1">
      <alignment horizontal="right" vertical="center"/>
    </xf>
    <xf numFmtId="169" fontId="25" fillId="0" borderId="49" xfId="0" applyNumberFormat="1" applyFont="1" applyBorder="1" applyAlignment="1">
      <alignment horizontal="right" vertical="center"/>
    </xf>
    <xf numFmtId="4" fontId="25" fillId="0" borderId="49" xfId="0" applyNumberFormat="1" applyFont="1" applyBorder="1" applyAlignment="1">
      <alignment horizontal="right" vertical="center"/>
    </xf>
    <xf numFmtId="169" fontId="25" fillId="0" borderId="4" xfId="0" applyNumberFormat="1" applyFont="1" applyBorder="1" applyAlignment="1">
      <alignment horizontal="right" vertical="center"/>
    </xf>
    <xf numFmtId="4" fontId="25" fillId="0" borderId="4" xfId="0" applyNumberFormat="1" applyFont="1" applyBorder="1" applyAlignment="1">
      <alignment horizontal="right" vertical="center"/>
    </xf>
    <xf numFmtId="0" fontId="24" fillId="0" borderId="10" xfId="0" applyFont="1" applyBorder="1" applyAlignment="1">
      <alignment vertical="center"/>
    </xf>
    <xf numFmtId="3" fontId="25" fillId="0" borderId="31" xfId="0" applyNumberFormat="1" applyFont="1" applyBorder="1" applyAlignment="1">
      <alignment horizontal="right" vertical="center"/>
    </xf>
    <xf numFmtId="4" fontId="25" fillId="0" borderId="31" xfId="0" applyNumberFormat="1" applyFont="1" applyBorder="1" applyAlignment="1">
      <alignment horizontal="right" vertical="center"/>
    </xf>
    <xf numFmtId="0" fontId="30" fillId="0" borderId="45" xfId="0" applyFont="1" applyBorder="1"/>
    <xf numFmtId="169" fontId="25" fillId="0" borderId="0" xfId="1" applyNumberFormat="1" applyFont="1" applyAlignment="1">
      <alignment horizontal="right" vertical="center"/>
    </xf>
    <xf numFmtId="0" fontId="24" fillId="0" borderId="6" xfId="0" applyFont="1" applyBorder="1" applyAlignment="1">
      <alignment horizontal="center" vertical="center"/>
    </xf>
    <xf numFmtId="169" fontId="25" fillId="0" borderId="5" xfId="0" applyNumberFormat="1" applyFont="1" applyBorder="1" applyAlignment="1">
      <alignment horizontal="right" vertical="center"/>
    </xf>
    <xf numFmtId="170" fontId="25" fillId="0" borderId="0" xfId="1" applyNumberFormat="1" applyFont="1" applyAlignment="1">
      <alignment horizontal="right"/>
    </xf>
    <xf numFmtId="4" fontId="25" fillId="0" borderId="0" xfId="0" applyNumberFormat="1" applyFont="1"/>
    <xf numFmtId="0" fontId="27" fillId="0" borderId="0" xfId="0" applyFont="1" applyAlignment="1">
      <alignment horizontal="right"/>
    </xf>
    <xf numFmtId="4" fontId="25" fillId="0" borderId="0" xfId="0" applyNumberFormat="1" applyFont="1" applyAlignment="1">
      <alignment horizontal="right"/>
    </xf>
    <xf numFmtId="169" fontId="25" fillId="0" borderId="52" xfId="0" applyNumberFormat="1" applyFont="1" applyBorder="1" applyAlignment="1">
      <alignment horizontal="right" vertical="center"/>
    </xf>
    <xf numFmtId="169" fontId="25" fillId="0" borderId="31" xfId="0" applyNumberFormat="1" applyFont="1" applyBorder="1" applyAlignment="1">
      <alignment horizontal="right" vertical="center"/>
    </xf>
    <xf numFmtId="0" fontId="24" fillId="0" borderId="26" xfId="0" applyFont="1" applyBorder="1"/>
    <xf numFmtId="3" fontId="24" fillId="0" borderId="27" xfId="0" applyNumberFormat="1" applyFont="1" applyBorder="1" applyAlignment="1">
      <alignment horizontal="right"/>
    </xf>
    <xf numFmtId="3" fontId="25" fillId="0" borderId="27" xfId="0" applyNumberFormat="1" applyFont="1" applyBorder="1" applyAlignment="1">
      <alignment horizontal="right"/>
    </xf>
    <xf numFmtId="3" fontId="25" fillId="0" borderId="47" xfId="0" applyNumberFormat="1" applyFont="1" applyBorder="1" applyAlignment="1">
      <alignment horizontal="right"/>
    </xf>
    <xf numFmtId="4" fontId="25" fillId="0" borderId="49" xfId="0" applyNumberFormat="1" applyFont="1" applyBorder="1"/>
    <xf numFmtId="0" fontId="24" fillId="0" borderId="27" xfId="0" applyFont="1" applyBorder="1" applyAlignment="1">
      <alignment horizontal="right"/>
    </xf>
    <xf numFmtId="0" fontId="8" fillId="0" borderId="50" xfId="0" applyFont="1" applyBorder="1" applyAlignment="1">
      <alignment horizontal="right"/>
    </xf>
    <xf numFmtId="0" fontId="8" fillId="0" borderId="27" xfId="0" applyFont="1" applyBorder="1" applyAlignment="1">
      <alignment horizontal="right"/>
    </xf>
    <xf numFmtId="0" fontId="24" fillId="0" borderId="30" xfId="0" applyFont="1" applyBorder="1"/>
    <xf numFmtId="3" fontId="24" fillId="0" borderId="5" xfId="0" applyNumberFormat="1" applyFont="1" applyBorder="1" applyAlignment="1">
      <alignment horizontal="right"/>
    </xf>
    <xf numFmtId="3" fontId="25" fillId="0" borderId="5" xfId="0" applyNumberFormat="1" applyFont="1" applyBorder="1" applyAlignment="1">
      <alignment horizontal="right"/>
    </xf>
    <xf numFmtId="0" fontId="24" fillId="0" borderId="5" xfId="0" applyFont="1" applyBorder="1" applyAlignment="1">
      <alignment horizontal="left"/>
    </xf>
    <xf numFmtId="3" fontId="25" fillId="0" borderId="8" xfId="0" applyNumberFormat="1" applyFont="1" applyBorder="1" applyAlignment="1">
      <alignment horizontal="right"/>
    </xf>
    <xf numFmtId="4" fontId="25" fillId="0" borderId="4" xfId="0" applyNumberFormat="1" applyFont="1" applyBorder="1"/>
    <xf numFmtId="0" fontId="24" fillId="0" borderId="5" xfId="0" applyFont="1" applyBorder="1" applyAlignment="1">
      <alignment horizontal="right"/>
    </xf>
    <xf numFmtId="0" fontId="8" fillId="0" borderId="10" xfId="0" applyFont="1" applyBorder="1" applyAlignment="1">
      <alignment horizontal="right"/>
    </xf>
    <xf numFmtId="0" fontId="8" fillId="0" borderId="5" xfId="0" applyFont="1" applyBorder="1" applyAlignment="1">
      <alignment horizontal="right"/>
    </xf>
    <xf numFmtId="0" fontId="25" fillId="0" borderId="5" xfId="0" applyFont="1" applyBorder="1" applyAlignment="1">
      <alignment horizontal="left"/>
    </xf>
    <xf numFmtId="0" fontId="25" fillId="0" borderId="8" xfId="0" applyFont="1" applyBorder="1" applyAlignment="1">
      <alignment horizontal="right"/>
    </xf>
    <xf numFmtId="0" fontId="8" fillId="0" borderId="0" xfId="0" applyFont="1" applyAlignment="1">
      <alignment horizontal="left"/>
    </xf>
    <xf numFmtId="0" fontId="30" fillId="0" borderId="37" xfId="0" applyFont="1" applyBorder="1" applyAlignment="1">
      <alignment horizontal="left"/>
    </xf>
    <xf numFmtId="0" fontId="8" fillId="0" borderId="27" xfId="0" applyFont="1" applyBorder="1" applyAlignment="1">
      <alignment horizontal="right" vertical="center"/>
    </xf>
    <xf numFmtId="0" fontId="30" fillId="0" borderId="7" xfId="0" applyFont="1" applyBorder="1" applyAlignment="1">
      <alignment horizontal="left" vertical="center"/>
    </xf>
    <xf numFmtId="0" fontId="8" fillId="0" borderId="27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3" fontId="8" fillId="0" borderId="0" xfId="0" applyNumberFormat="1" applyFont="1" applyAlignment="1">
      <alignment horizontal="right"/>
    </xf>
    <xf numFmtId="3" fontId="30" fillId="0" borderId="2" xfId="0" applyNumberFormat="1" applyFont="1" applyBorder="1" applyAlignment="1">
      <alignment horizontal="center" vertical="top" wrapText="1"/>
    </xf>
    <xf numFmtId="0" fontId="30" fillId="0" borderId="39" xfId="0" applyFont="1" applyBorder="1" applyAlignment="1">
      <alignment horizontal="center" vertical="top" wrapText="1"/>
    </xf>
    <xf numFmtId="0" fontId="30" fillId="0" borderId="22" xfId="0" applyFont="1" applyBorder="1" applyAlignment="1">
      <alignment horizontal="center" vertical="top" wrapText="1"/>
    </xf>
    <xf numFmtId="0" fontId="8" fillId="0" borderId="37" xfId="0" applyFont="1" applyBorder="1"/>
    <xf numFmtId="3" fontId="30" fillId="0" borderId="5" xfId="0" applyNumberFormat="1" applyFont="1" applyBorder="1" applyAlignment="1">
      <alignment horizontal="right" vertical="center"/>
    </xf>
    <xf numFmtId="4" fontId="8" fillId="0" borderId="5" xfId="0" applyNumberFormat="1" applyFont="1" applyBorder="1" applyAlignment="1">
      <alignment horizontal="right" vertical="center"/>
    </xf>
    <xf numFmtId="0" fontId="8" fillId="0" borderId="49" xfId="0" applyFont="1" applyBorder="1" applyAlignment="1">
      <alignment horizontal="right"/>
    </xf>
    <xf numFmtId="0" fontId="8" fillId="0" borderId="4" xfId="0" applyFont="1" applyBorder="1" applyAlignment="1">
      <alignment horizontal="right"/>
    </xf>
    <xf numFmtId="4" fontId="25" fillId="0" borderId="4" xfId="0" applyNumberFormat="1" applyFont="1" applyBorder="1" applyAlignment="1">
      <alignment horizontal="right"/>
    </xf>
    <xf numFmtId="4" fontId="8" fillId="0" borderId="4" xfId="0" applyNumberFormat="1" applyFont="1" applyBorder="1" applyAlignment="1">
      <alignment horizontal="right"/>
    </xf>
    <xf numFmtId="3" fontId="25" fillId="0" borderId="38" xfId="1" applyNumberFormat="1" applyFont="1" applyBorder="1" applyAlignment="1">
      <alignment horizontal="right"/>
    </xf>
    <xf numFmtId="3" fontId="25" fillId="0" borderId="52" xfId="0" applyNumberFormat="1" applyFont="1" applyBorder="1" applyAlignment="1">
      <alignment horizontal="right" vertical="center"/>
    </xf>
    <xf numFmtId="0" fontId="25" fillId="0" borderId="31" xfId="0" applyFont="1" applyBorder="1" applyAlignment="1">
      <alignment vertical="center"/>
    </xf>
    <xf numFmtId="0" fontId="25" fillId="9" borderId="6" xfId="0" applyFont="1" applyFill="1" applyBorder="1" applyAlignment="1">
      <alignment vertical="center"/>
    </xf>
    <xf numFmtId="0" fontId="25" fillId="9" borderId="5" xfId="0" applyFont="1" applyFill="1" applyBorder="1" applyAlignment="1">
      <alignment vertical="center"/>
    </xf>
    <xf numFmtId="2" fontId="25" fillId="9" borderId="5" xfId="1" applyNumberFormat="1" applyFont="1" applyFill="1" applyBorder="1" applyAlignment="1">
      <alignment vertical="center"/>
    </xf>
    <xf numFmtId="3" fontId="25" fillId="9" borderId="5" xfId="1" applyNumberFormat="1" applyFont="1" applyFill="1" applyBorder="1" applyAlignment="1">
      <alignment horizontal="right" vertical="center"/>
    </xf>
    <xf numFmtId="3" fontId="30" fillId="9" borderId="5" xfId="1" applyNumberFormat="1" applyFont="1" applyFill="1" applyBorder="1" applyAlignment="1">
      <alignment horizontal="right" vertical="center"/>
    </xf>
    <xf numFmtId="169" fontId="25" fillId="9" borderId="8" xfId="1" applyNumberFormat="1" applyFont="1" applyFill="1" applyBorder="1" applyAlignment="1">
      <alignment horizontal="right" vertical="center"/>
    </xf>
    <xf numFmtId="3" fontId="25" fillId="9" borderId="6" xfId="1" applyNumberFormat="1" applyFont="1" applyFill="1" applyBorder="1" applyAlignment="1">
      <alignment horizontal="right" vertical="center"/>
    </xf>
    <xf numFmtId="3" fontId="25" fillId="9" borderId="31" xfId="1" applyNumberFormat="1" applyFont="1" applyFill="1" applyBorder="1" applyAlignment="1">
      <alignment horizontal="right" vertical="center"/>
    </xf>
    <xf numFmtId="169" fontId="25" fillId="9" borderId="4" xfId="0" applyNumberFormat="1" applyFont="1" applyFill="1" applyBorder="1" applyAlignment="1">
      <alignment horizontal="right" vertical="center"/>
    </xf>
    <xf numFmtId="0" fontId="25" fillId="9" borderId="9" xfId="0" applyFont="1" applyFill="1" applyBorder="1" applyAlignment="1">
      <alignment vertical="center"/>
    </xf>
    <xf numFmtId="0" fontId="25" fillId="9" borderId="7" xfId="0" applyFont="1" applyFill="1" applyBorder="1" applyAlignment="1">
      <alignment vertical="center"/>
    </xf>
    <xf numFmtId="0" fontId="25" fillId="9" borderId="10" xfId="0" applyFont="1" applyFill="1" applyBorder="1" applyAlignment="1">
      <alignment vertical="center"/>
    </xf>
    <xf numFmtId="3" fontId="25" fillId="9" borderId="5" xfId="0" applyNumberFormat="1" applyFont="1" applyFill="1" applyBorder="1" applyAlignment="1">
      <alignment vertical="center"/>
    </xf>
    <xf numFmtId="3" fontId="25" fillId="9" borderId="30" xfId="0" applyNumberFormat="1" applyFont="1" applyFill="1" applyBorder="1" applyAlignment="1">
      <alignment vertical="center"/>
    </xf>
    <xf numFmtId="3" fontId="30" fillId="9" borderId="5" xfId="0" applyNumberFormat="1" applyFont="1" applyFill="1" applyBorder="1" applyAlignment="1">
      <alignment vertical="center"/>
    </xf>
    <xf numFmtId="169" fontId="25" fillId="9" borderId="8" xfId="0" applyNumberFormat="1" applyFont="1" applyFill="1" applyBorder="1" applyAlignment="1">
      <alignment vertical="center"/>
    </xf>
    <xf numFmtId="3" fontId="25" fillId="9" borderId="6" xfId="0" applyNumberFormat="1" applyFont="1" applyFill="1" applyBorder="1" applyAlignment="1">
      <alignment vertical="center"/>
    </xf>
    <xf numFmtId="169" fontId="25" fillId="9" borderId="5" xfId="0" applyNumberFormat="1" applyFont="1" applyFill="1" applyBorder="1" applyAlignment="1">
      <alignment vertical="center"/>
    </xf>
    <xf numFmtId="3" fontId="25" fillId="9" borderId="31" xfId="0" applyNumberFormat="1" applyFont="1" applyFill="1" applyBorder="1" applyAlignment="1">
      <alignment vertical="center"/>
    </xf>
    <xf numFmtId="3" fontId="25" fillId="9" borderId="8" xfId="0" applyNumberFormat="1" applyFont="1" applyFill="1" applyBorder="1" applyAlignment="1">
      <alignment vertical="center"/>
    </xf>
    <xf numFmtId="0" fontId="25" fillId="9" borderId="3" xfId="0" applyFont="1" applyFill="1" applyBorder="1" applyAlignment="1">
      <alignment vertical="center"/>
    </xf>
    <xf numFmtId="0" fontId="25" fillId="9" borderId="2" xfId="0" applyFont="1" applyFill="1" applyBorder="1" applyAlignment="1">
      <alignment vertical="center"/>
    </xf>
    <xf numFmtId="3" fontId="25" fillId="9" borderId="2" xfId="0" applyNumberFormat="1" applyFont="1" applyFill="1" applyBorder="1" applyAlignment="1">
      <alignment vertical="center"/>
    </xf>
    <xf numFmtId="3" fontId="30" fillId="9" borderId="2" xfId="0" applyNumberFormat="1" applyFont="1" applyFill="1" applyBorder="1" applyAlignment="1">
      <alignment vertical="center"/>
    </xf>
    <xf numFmtId="3" fontId="25" fillId="9" borderId="2" xfId="1" applyNumberFormat="1" applyFont="1" applyFill="1" applyBorder="1" applyAlignment="1">
      <alignment horizontal="right" vertical="center"/>
    </xf>
    <xf numFmtId="169" fontId="25" fillId="9" borderId="22" xfId="0" applyNumberFormat="1" applyFont="1" applyFill="1" applyBorder="1" applyAlignment="1">
      <alignment vertical="center"/>
    </xf>
    <xf numFmtId="3" fontId="25" fillId="9" borderId="3" xfId="0" applyNumberFormat="1" applyFont="1" applyFill="1" applyBorder="1" applyAlignment="1">
      <alignment vertical="center"/>
    </xf>
    <xf numFmtId="3" fontId="30" fillId="9" borderId="2" xfId="1" applyNumberFormat="1" applyFont="1" applyFill="1" applyBorder="1" applyAlignment="1">
      <alignment horizontal="right" vertical="center"/>
    </xf>
    <xf numFmtId="4" fontId="25" fillId="9" borderId="35" xfId="0" applyNumberFormat="1" applyFont="1" applyFill="1" applyBorder="1" applyAlignment="1">
      <alignment vertical="center"/>
    </xf>
    <xf numFmtId="169" fontId="25" fillId="9" borderId="1" xfId="0" applyNumberFormat="1" applyFont="1" applyFill="1" applyBorder="1" applyAlignment="1">
      <alignment vertical="center"/>
    </xf>
    <xf numFmtId="0" fontId="25" fillId="9" borderId="3" xfId="0" applyFont="1" applyFill="1" applyBorder="1"/>
    <xf numFmtId="0" fontId="25" fillId="9" borderId="2" xfId="0" applyFont="1" applyFill="1" applyBorder="1" applyAlignment="1">
      <alignment wrapText="1"/>
    </xf>
    <xf numFmtId="0" fontId="25" fillId="9" borderId="35" xfId="0" applyFont="1" applyFill="1" applyBorder="1" applyAlignment="1">
      <alignment wrapText="1"/>
    </xf>
    <xf numFmtId="3" fontId="25" fillId="9" borderId="2" xfId="0" applyNumberFormat="1" applyFont="1" applyFill="1" applyBorder="1" applyAlignment="1">
      <alignment horizontal="right"/>
    </xf>
    <xf numFmtId="0" fontId="25" fillId="9" borderId="2" xfId="0" applyFont="1" applyFill="1" applyBorder="1" applyAlignment="1">
      <alignment horizontal="left"/>
    </xf>
    <xf numFmtId="0" fontId="30" fillId="9" borderId="2" xfId="0" applyFont="1" applyFill="1" applyBorder="1" applyAlignment="1">
      <alignment horizontal="left"/>
    </xf>
    <xf numFmtId="0" fontId="25" fillId="9" borderId="22" xfId="0" applyFont="1" applyFill="1" applyBorder="1" applyAlignment="1">
      <alignment horizontal="left"/>
    </xf>
    <xf numFmtId="4" fontId="25" fillId="9" borderId="1" xfId="0" applyNumberFormat="1" applyFont="1" applyFill="1" applyBorder="1"/>
    <xf numFmtId="0" fontId="25" fillId="9" borderId="2" xfId="0" applyFont="1" applyFill="1" applyBorder="1"/>
    <xf numFmtId="0" fontId="30" fillId="9" borderId="2" xfId="0" applyFont="1" applyFill="1" applyBorder="1"/>
    <xf numFmtId="3" fontId="25" fillId="9" borderId="2" xfId="0" applyNumberFormat="1" applyFont="1" applyFill="1" applyBorder="1"/>
    <xf numFmtId="0" fontId="30" fillId="9" borderId="48" xfId="0" applyFont="1" applyFill="1" applyBorder="1"/>
    <xf numFmtId="4" fontId="25" fillId="9" borderId="1" xfId="0" applyNumberFormat="1" applyFont="1" applyFill="1" applyBorder="1" applyAlignment="1">
      <alignment horizontal="right"/>
    </xf>
    <xf numFmtId="0" fontId="38" fillId="0" borderId="0" xfId="0" applyFont="1"/>
    <xf numFmtId="0" fontId="39" fillId="0" borderId="40" xfId="0" applyFont="1" applyBorder="1"/>
    <xf numFmtId="0" fontId="39" fillId="0" borderId="28" xfId="0" applyFont="1" applyBorder="1" applyAlignment="1">
      <alignment horizontal="right" vertical="center"/>
    </xf>
    <xf numFmtId="0" fontId="39" fillId="0" borderId="6" xfId="0" applyFont="1" applyBorder="1" applyAlignment="1">
      <alignment horizontal="right" vertical="center"/>
    </xf>
    <xf numFmtId="3" fontId="30" fillId="9" borderId="6" xfId="1" applyNumberFormat="1" applyFont="1" applyFill="1" applyBorder="1" applyAlignment="1">
      <alignment horizontal="right" vertical="center"/>
    </xf>
    <xf numFmtId="0" fontId="30" fillId="0" borderId="6" xfId="0" applyFont="1" applyBorder="1" applyAlignment="1">
      <alignment vertical="center"/>
    </xf>
    <xf numFmtId="3" fontId="30" fillId="9" borderId="6" xfId="0" applyNumberFormat="1" applyFont="1" applyFill="1" applyBorder="1" applyAlignment="1">
      <alignment vertical="center"/>
    </xf>
    <xf numFmtId="3" fontId="30" fillId="0" borderId="6" xfId="0" applyNumberFormat="1" applyFont="1" applyBorder="1" applyAlignment="1">
      <alignment horizontal="right" vertical="center"/>
    </xf>
    <xf numFmtId="3" fontId="30" fillId="9" borderId="3" xfId="0" applyNumberFormat="1" applyFont="1" applyFill="1" applyBorder="1" applyAlignment="1">
      <alignment vertical="center"/>
    </xf>
    <xf numFmtId="0" fontId="8" fillId="0" borderId="28" xfId="0" applyFont="1" applyBorder="1" applyAlignment="1">
      <alignment horizontal="right"/>
    </xf>
    <xf numFmtId="0" fontId="8" fillId="0" borderId="6" xfId="0" applyFont="1" applyBorder="1" applyAlignment="1">
      <alignment horizontal="right"/>
    </xf>
    <xf numFmtId="3" fontId="30" fillId="9" borderId="3" xfId="0" applyNumberFormat="1" applyFont="1" applyFill="1" applyBorder="1" applyAlignment="1">
      <alignment horizontal="right"/>
    </xf>
    <xf numFmtId="0" fontId="8" fillId="0" borderId="0" xfId="0" applyFont="1" applyAlignment="1">
      <alignment horizontal="center"/>
    </xf>
    <xf numFmtId="0" fontId="8" fillId="0" borderId="5" xfId="0" applyFont="1" applyBorder="1" applyAlignment="1">
      <alignment horizontal="left" vertical="center"/>
    </xf>
    <xf numFmtId="3" fontId="8" fillId="0" borderId="5" xfId="1" applyNumberFormat="1" applyBorder="1" applyAlignment="1">
      <alignment horizontal="right" vertical="center"/>
    </xf>
    <xf numFmtId="3" fontId="8" fillId="0" borderId="28" xfId="0" applyNumberFormat="1" applyFont="1" applyBorder="1" applyAlignment="1">
      <alignment horizontal="right"/>
    </xf>
    <xf numFmtId="3" fontId="8" fillId="0" borderId="6" xfId="0" applyNumberFormat="1" applyFont="1" applyBorder="1" applyAlignment="1">
      <alignment horizontal="right"/>
    </xf>
    <xf numFmtId="0" fontId="8" fillId="0" borderId="6" xfId="0" applyFont="1" applyBorder="1" applyAlignment="1">
      <alignment horizontal="center"/>
    </xf>
    <xf numFmtId="0" fontId="30" fillId="9" borderId="3" xfId="0" applyFont="1" applyFill="1" applyBorder="1" applyAlignment="1">
      <alignment horizontal="center"/>
    </xf>
    <xf numFmtId="166" fontId="24" fillId="0" borderId="5" xfId="1" applyNumberFormat="1" applyFont="1" applyBorder="1" applyAlignment="1">
      <alignment horizontal="left" vertical="center" wrapText="1"/>
    </xf>
    <xf numFmtId="0" fontId="24" fillId="0" borderId="5" xfId="0" applyFont="1" applyBorder="1" applyAlignment="1">
      <alignment vertical="center" wrapText="1"/>
    </xf>
    <xf numFmtId="0" fontId="25" fillId="9" borderId="5" xfId="0" applyFont="1" applyFill="1" applyBorder="1" applyAlignment="1">
      <alignment vertical="center" wrapText="1"/>
    </xf>
    <xf numFmtId="0" fontId="25" fillId="0" borderId="10" xfId="0" applyFont="1" applyBorder="1" applyAlignment="1">
      <alignment horizontal="left" vertical="center" wrapText="1"/>
    </xf>
    <xf numFmtId="0" fontId="24" fillId="0" borderId="5" xfId="0" applyFont="1" applyBorder="1" applyAlignment="1">
      <alignment horizontal="left" vertical="center" wrapText="1"/>
    </xf>
    <xf numFmtId="0" fontId="24" fillId="0" borderId="52" xfId="0" applyFont="1" applyBorder="1" applyAlignment="1">
      <alignment horizontal="right" vertical="center"/>
    </xf>
    <xf numFmtId="0" fontId="24" fillId="0" borderId="31" xfId="0" applyFont="1" applyBorder="1" applyAlignment="1">
      <alignment horizontal="right" vertical="center"/>
    </xf>
    <xf numFmtId="0" fontId="8" fillId="0" borderId="31" xfId="0" applyFont="1" applyBorder="1" applyAlignment="1">
      <alignment vertical="center"/>
    </xf>
    <xf numFmtId="0" fontId="8" fillId="0" borderId="31" xfId="0" applyFont="1" applyBorder="1" applyAlignment="1">
      <alignment horizontal="right" vertical="center"/>
    </xf>
    <xf numFmtId="3" fontId="8" fillId="0" borderId="31" xfId="0" applyNumberFormat="1" applyFont="1" applyBorder="1" applyAlignment="1">
      <alignment horizontal="right" vertical="center"/>
    </xf>
    <xf numFmtId="0" fontId="40" fillId="0" borderId="39" xfId="0" applyFont="1" applyBorder="1" applyAlignment="1">
      <alignment horizontal="center" vertical="top" wrapText="1"/>
    </xf>
    <xf numFmtId="0" fontId="40" fillId="0" borderId="22" xfId="0" applyFont="1" applyBorder="1" applyAlignment="1">
      <alignment horizontal="center" vertical="top" wrapText="1"/>
    </xf>
    <xf numFmtId="0" fontId="24" fillId="8" borderId="26" xfId="0" applyFont="1" applyFill="1" applyBorder="1"/>
    <xf numFmtId="3" fontId="8" fillId="8" borderId="28" xfId="0" applyNumberFormat="1" applyFont="1" applyFill="1" applyBorder="1" applyAlignment="1">
      <alignment horizontal="right"/>
    </xf>
    <xf numFmtId="3" fontId="24" fillId="8" borderId="27" xfId="0" applyNumberFormat="1" applyFont="1" applyFill="1" applyBorder="1" applyAlignment="1">
      <alignment horizontal="right"/>
    </xf>
    <xf numFmtId="3" fontId="25" fillId="8" borderId="27" xfId="0" applyNumberFormat="1" applyFont="1" applyFill="1" applyBorder="1" applyAlignment="1">
      <alignment horizontal="right"/>
    </xf>
    <xf numFmtId="0" fontId="8" fillId="8" borderId="27" xfId="0" applyFont="1" applyFill="1" applyBorder="1" applyAlignment="1">
      <alignment horizontal="left"/>
    </xf>
    <xf numFmtId="3" fontId="25" fillId="8" borderId="47" xfId="0" applyNumberFormat="1" applyFont="1" applyFill="1" applyBorder="1" applyAlignment="1">
      <alignment horizontal="right"/>
    </xf>
    <xf numFmtId="4" fontId="25" fillId="8" borderId="49" xfId="0" applyNumberFormat="1" applyFont="1" applyFill="1" applyBorder="1"/>
    <xf numFmtId="0" fontId="8" fillId="8" borderId="28" xfId="0" applyFont="1" applyFill="1" applyBorder="1" applyAlignment="1">
      <alignment horizontal="right"/>
    </xf>
    <xf numFmtId="0" fontId="24" fillId="8" borderId="27" xfId="0" applyFont="1" applyFill="1" applyBorder="1" applyAlignment="1">
      <alignment horizontal="right"/>
    </xf>
    <xf numFmtId="0" fontId="8" fillId="8" borderId="27" xfId="0" applyFont="1" applyFill="1" applyBorder="1" applyAlignment="1">
      <alignment horizontal="right"/>
    </xf>
    <xf numFmtId="0" fontId="8" fillId="8" borderId="50" xfId="0" applyFont="1" applyFill="1" applyBorder="1" applyAlignment="1">
      <alignment horizontal="right"/>
    </xf>
    <xf numFmtId="0" fontId="8" fillId="8" borderId="49" xfId="0" applyFont="1" applyFill="1" applyBorder="1" applyAlignment="1">
      <alignment horizontal="right"/>
    </xf>
    <xf numFmtId="4" fontId="25" fillId="8" borderId="49" xfId="0" applyNumberFormat="1" applyFont="1" applyFill="1" applyBorder="1" applyAlignment="1">
      <alignment horizontal="right" vertical="center"/>
    </xf>
    <xf numFmtId="0" fontId="8" fillId="8" borderId="0" xfId="0" applyFont="1" applyFill="1"/>
    <xf numFmtId="0" fontId="24" fillId="8" borderId="30" xfId="0" applyFont="1" applyFill="1" applyBorder="1"/>
    <xf numFmtId="3" fontId="8" fillId="8" borderId="6" xfId="0" applyNumberFormat="1" applyFont="1" applyFill="1" applyBorder="1" applyAlignment="1">
      <alignment horizontal="right"/>
    </xf>
    <xf numFmtId="3" fontId="24" fillId="8" borderId="5" xfId="0" applyNumberFormat="1" applyFont="1" applyFill="1" applyBorder="1" applyAlignment="1">
      <alignment horizontal="right"/>
    </xf>
    <xf numFmtId="3" fontId="25" fillId="8" borderId="5" xfId="0" applyNumberFormat="1" applyFont="1" applyFill="1" applyBorder="1" applyAlignment="1">
      <alignment horizontal="right"/>
    </xf>
    <xf numFmtId="0" fontId="8" fillId="8" borderId="5" xfId="0" applyFont="1" applyFill="1" applyBorder="1" applyAlignment="1">
      <alignment horizontal="left"/>
    </xf>
    <xf numFmtId="3" fontId="25" fillId="8" borderId="8" xfId="0" applyNumberFormat="1" applyFont="1" applyFill="1" applyBorder="1" applyAlignment="1">
      <alignment horizontal="right"/>
    </xf>
    <xf numFmtId="4" fontId="25" fillId="8" borderId="4" xfId="0" applyNumberFormat="1" applyFont="1" applyFill="1" applyBorder="1"/>
    <xf numFmtId="0" fontId="8" fillId="8" borderId="6" xfId="0" applyFont="1" applyFill="1" applyBorder="1" applyAlignment="1">
      <alignment horizontal="right"/>
    </xf>
    <xf numFmtId="0" fontId="24" fillId="8" borderId="5" xfId="0" applyFont="1" applyFill="1" applyBorder="1" applyAlignment="1">
      <alignment horizontal="right"/>
    </xf>
    <xf numFmtId="0" fontId="8" fillId="8" borderId="5" xfId="0" applyFont="1" applyFill="1" applyBorder="1" applyAlignment="1">
      <alignment horizontal="right"/>
    </xf>
    <xf numFmtId="0" fontId="8" fillId="8" borderId="10" xfId="0" applyFont="1" applyFill="1" applyBorder="1" applyAlignment="1">
      <alignment horizontal="right"/>
    </xf>
    <xf numFmtId="0" fontId="8" fillId="8" borderId="4" xfId="0" applyFont="1" applyFill="1" applyBorder="1" applyAlignment="1">
      <alignment horizontal="right"/>
    </xf>
    <xf numFmtId="4" fontId="25" fillId="8" borderId="4" xfId="0" applyNumberFormat="1" applyFont="1" applyFill="1" applyBorder="1" applyAlignment="1">
      <alignment horizontal="right" vertical="center"/>
    </xf>
    <xf numFmtId="4" fontId="25" fillId="8" borderId="4" xfId="0" applyNumberFormat="1" applyFont="1" applyFill="1" applyBorder="1" applyAlignment="1">
      <alignment horizontal="right"/>
    </xf>
    <xf numFmtId="3" fontId="27" fillId="0" borderId="43" xfId="1" applyNumberFormat="1" applyFont="1" applyBorder="1" applyAlignment="1">
      <alignment horizontal="right"/>
    </xf>
    <xf numFmtId="3" fontId="25" fillId="0" borderId="0" xfId="1" applyNumberFormat="1" applyFont="1" applyAlignment="1">
      <alignment horizontal="right"/>
    </xf>
    <xf numFmtId="4" fontId="8" fillId="0" borderId="0" xfId="0" applyNumberFormat="1" applyFont="1"/>
    <xf numFmtId="0" fontId="30" fillId="9" borderId="3" xfId="0" applyFont="1" applyFill="1" applyBorder="1"/>
    <xf numFmtId="0" fontId="24" fillId="8" borderId="5" xfId="0" applyFont="1" applyFill="1" applyBorder="1" applyAlignment="1">
      <alignment vertical="center"/>
    </xf>
    <xf numFmtId="0" fontId="44" fillId="0" borderId="0" xfId="0" applyFont="1"/>
    <xf numFmtId="4" fontId="44" fillId="0" borderId="0" xfId="0" applyNumberFormat="1" applyFont="1"/>
    <xf numFmtId="3" fontId="24" fillId="0" borderId="31" xfId="0" applyNumberFormat="1" applyFont="1" applyBorder="1" applyAlignment="1">
      <alignment horizontal="right"/>
    </xf>
    <xf numFmtId="169" fontId="26" fillId="0" borderId="0" xfId="0" applyNumberFormat="1" applyFont="1"/>
    <xf numFmtId="0" fontId="42" fillId="0" borderId="0" xfId="0" applyFont="1"/>
    <xf numFmtId="169" fontId="33" fillId="0" borderId="0" xfId="0" applyNumberFormat="1" applyFont="1" applyAlignment="1">
      <alignment vertical="top" wrapText="1"/>
    </xf>
    <xf numFmtId="0" fontId="43" fillId="0" borderId="0" xfId="0" applyFont="1" applyAlignment="1">
      <alignment vertical="top" wrapText="1"/>
    </xf>
    <xf numFmtId="169" fontId="33" fillId="0" borderId="0" xfId="0" applyNumberFormat="1" applyFont="1" applyAlignment="1">
      <alignment horizontal="center" vertical="top" wrapText="1"/>
    </xf>
    <xf numFmtId="0" fontId="43" fillId="0" borderId="0" xfId="0" applyFont="1" applyAlignment="1">
      <alignment horizontal="center" vertical="top" wrapText="1"/>
    </xf>
    <xf numFmtId="169" fontId="8" fillId="0" borderId="0" xfId="0" applyNumberFormat="1" applyFont="1"/>
    <xf numFmtId="169" fontId="24" fillId="0" borderId="0" xfId="0" applyNumberFormat="1" applyFont="1" applyAlignment="1">
      <alignment vertical="center"/>
    </xf>
    <xf numFmtId="169" fontId="45" fillId="0" borderId="0" xfId="0" applyNumberFormat="1" applyFont="1" applyAlignment="1">
      <alignment vertical="center"/>
    </xf>
    <xf numFmtId="169" fontId="25" fillId="9" borderId="0" xfId="0" applyNumberFormat="1" applyFont="1" applyFill="1" applyAlignment="1">
      <alignment horizontal="right" vertical="center"/>
    </xf>
    <xf numFmtId="169" fontId="25" fillId="8" borderId="0" xfId="0" applyNumberFormat="1" applyFont="1" applyFill="1" applyAlignment="1">
      <alignment horizontal="right" vertical="center"/>
    </xf>
    <xf numFmtId="169" fontId="46" fillId="8" borderId="0" xfId="0" applyNumberFormat="1" applyFont="1" applyFill="1" applyAlignment="1">
      <alignment horizontal="right" vertical="center"/>
    </xf>
    <xf numFmtId="169" fontId="46" fillId="9" borderId="0" xfId="0" applyNumberFormat="1" applyFont="1" applyFill="1" applyAlignment="1">
      <alignment horizontal="right" vertical="center"/>
    </xf>
    <xf numFmtId="169" fontId="25" fillId="9" borderId="0" xfId="0" applyNumberFormat="1" applyFont="1" applyFill="1" applyAlignment="1">
      <alignment vertical="center"/>
    </xf>
    <xf numFmtId="169" fontId="25" fillId="8" borderId="0" xfId="0" applyNumberFormat="1" applyFont="1" applyFill="1" applyAlignment="1">
      <alignment vertical="center"/>
    </xf>
    <xf numFmtId="169" fontId="46" fillId="8" borderId="0" xfId="0" applyNumberFormat="1" applyFont="1" applyFill="1" applyAlignment="1">
      <alignment vertical="center"/>
    </xf>
    <xf numFmtId="4" fontId="25" fillId="9" borderId="0" xfId="0" applyNumberFormat="1" applyFont="1" applyFill="1" applyAlignment="1">
      <alignment horizontal="right"/>
    </xf>
    <xf numFmtId="4" fontId="25" fillId="8" borderId="0" xfId="0" applyNumberFormat="1" applyFont="1" applyFill="1" applyAlignment="1">
      <alignment horizontal="right"/>
    </xf>
    <xf numFmtId="4" fontId="46" fillId="9" borderId="0" xfId="0" applyNumberFormat="1" applyFont="1" applyFill="1" applyAlignment="1">
      <alignment horizontal="right"/>
    </xf>
    <xf numFmtId="4" fontId="46" fillId="8" borderId="0" xfId="0" applyNumberFormat="1" applyFont="1" applyFill="1" applyAlignment="1">
      <alignment horizontal="right"/>
    </xf>
    <xf numFmtId="0" fontId="8" fillId="8" borderId="5" xfId="0" applyFont="1" applyFill="1" applyBorder="1" applyAlignment="1">
      <alignment horizontal="right" vertical="center"/>
    </xf>
    <xf numFmtId="0" fontId="8" fillId="2" borderId="6" xfId="0" applyFont="1" applyFill="1" applyBorder="1" applyAlignment="1">
      <alignment horizontal="right" vertical="center"/>
    </xf>
    <xf numFmtId="0" fontId="39" fillId="0" borderId="10" xfId="0" applyFont="1" applyBorder="1" applyAlignment="1">
      <alignment horizontal="right" vertical="center"/>
    </xf>
    <xf numFmtId="0" fontId="8" fillId="0" borderId="10" xfId="0" applyFont="1" applyBorder="1" applyAlignment="1">
      <alignment horizontal="right" vertical="center"/>
    </xf>
    <xf numFmtId="3" fontId="40" fillId="0" borderId="2" xfId="0" applyNumberFormat="1" applyFont="1" applyBorder="1" applyAlignment="1">
      <alignment horizontal="center" vertical="center" wrapText="1"/>
    </xf>
    <xf numFmtId="0" fontId="8" fillId="8" borderId="6" xfId="0" applyFont="1" applyFill="1" applyBorder="1" applyAlignment="1">
      <alignment horizontal="right" vertical="center"/>
    </xf>
    <xf numFmtId="0" fontId="8" fillId="10" borderId="5" xfId="0" applyFont="1" applyFill="1" applyBorder="1" applyAlignment="1">
      <alignment horizontal="right" vertical="center"/>
    </xf>
    <xf numFmtId="0" fontId="8" fillId="2" borderId="5" xfId="0" applyFont="1" applyFill="1" applyBorder="1" applyAlignment="1">
      <alignment horizontal="right" vertical="center"/>
    </xf>
    <xf numFmtId="3" fontId="25" fillId="10" borderId="5" xfId="0" applyNumberFormat="1" applyFont="1" applyFill="1" applyBorder="1" applyAlignment="1">
      <alignment horizontal="right" vertical="center"/>
    </xf>
    <xf numFmtId="3" fontId="30" fillId="9" borderId="15" xfId="1" applyNumberFormat="1" applyFont="1" applyFill="1" applyBorder="1" applyAlignment="1">
      <alignment horizontal="right" vertical="center"/>
    </xf>
    <xf numFmtId="0" fontId="25" fillId="0" borderId="19" xfId="0" applyFont="1" applyBorder="1" applyAlignment="1">
      <alignment vertical="center"/>
    </xf>
    <xf numFmtId="3" fontId="30" fillId="0" borderId="15" xfId="0" applyNumberFormat="1" applyFont="1" applyBorder="1" applyAlignment="1">
      <alignment vertical="center"/>
    </xf>
    <xf numFmtId="3" fontId="25" fillId="0" borderId="15" xfId="0" applyNumberFormat="1" applyFont="1" applyBorder="1" applyAlignment="1">
      <alignment vertical="center"/>
    </xf>
    <xf numFmtId="3" fontId="30" fillId="0" borderId="19" xfId="0" applyNumberFormat="1" applyFont="1" applyBorder="1" applyAlignment="1">
      <alignment vertical="center"/>
    </xf>
    <xf numFmtId="169" fontId="25" fillId="0" borderId="0" xfId="0" applyNumberFormat="1" applyFont="1" applyAlignment="1">
      <alignment horizontal="right" vertical="center"/>
    </xf>
    <xf numFmtId="169" fontId="46" fillId="0" borderId="0" xfId="0" applyNumberFormat="1" applyFont="1" applyAlignment="1">
      <alignment horizontal="right" vertical="center"/>
    </xf>
    <xf numFmtId="0" fontId="24" fillId="0" borderId="15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3" fontId="24" fillId="0" borderId="56" xfId="0" applyNumberFormat="1" applyFont="1" applyBorder="1" applyAlignment="1">
      <alignment vertical="center"/>
    </xf>
    <xf numFmtId="3" fontId="30" fillId="0" borderId="5" xfId="0" applyNumberFormat="1" applyFont="1" applyBorder="1" applyAlignment="1">
      <alignment vertical="center"/>
    </xf>
    <xf numFmtId="3" fontId="30" fillId="0" borderId="5" xfId="1" applyNumberFormat="1" applyFont="1" applyBorder="1" applyAlignment="1">
      <alignment horizontal="right" vertical="center"/>
    </xf>
    <xf numFmtId="3" fontId="8" fillId="0" borderId="10" xfId="0" applyNumberFormat="1" applyFont="1" applyBorder="1" applyAlignment="1">
      <alignment horizontal="right" vertical="center"/>
    </xf>
    <xf numFmtId="0" fontId="24" fillId="0" borderId="10" xfId="0" applyFont="1" applyBorder="1" applyAlignment="1">
      <alignment horizontal="right" vertical="center"/>
    </xf>
    <xf numFmtId="0" fontId="30" fillId="0" borderId="23" xfId="0" applyFont="1" applyBorder="1" applyAlignment="1">
      <alignment horizontal="center" vertical="center" wrapText="1"/>
    </xf>
    <xf numFmtId="0" fontId="8" fillId="0" borderId="10" xfId="0" applyFont="1" applyBorder="1" applyAlignment="1">
      <alignment vertical="center"/>
    </xf>
    <xf numFmtId="3" fontId="25" fillId="9" borderId="10" xfId="0" applyNumberFormat="1" applyFont="1" applyFill="1" applyBorder="1" applyAlignment="1">
      <alignment vertical="center"/>
    </xf>
    <xf numFmtId="0" fontId="24" fillId="0" borderId="30" xfId="0" applyFont="1" applyBorder="1" applyAlignment="1">
      <alignment vertical="center"/>
    </xf>
    <xf numFmtId="0" fontId="24" fillId="0" borderId="30" xfId="0" applyFont="1" applyBorder="1" applyAlignment="1">
      <alignment horizontal="left" vertical="center"/>
    </xf>
    <xf numFmtId="0" fontId="24" fillId="10" borderId="30" xfId="0" applyFont="1" applyFill="1" applyBorder="1" applyAlignment="1">
      <alignment horizontal="left" vertical="center"/>
    </xf>
    <xf numFmtId="2" fontId="24" fillId="8" borderId="30" xfId="1" applyNumberFormat="1" applyFont="1" applyFill="1" applyBorder="1" applyAlignment="1">
      <alignment vertical="center"/>
    </xf>
    <xf numFmtId="2" fontId="24" fillId="2" borderId="30" xfId="1" applyNumberFormat="1" applyFont="1" applyFill="1" applyBorder="1" applyAlignment="1">
      <alignment vertical="center"/>
    </xf>
    <xf numFmtId="2" fontId="24" fillId="10" borderId="30" xfId="1" applyNumberFormat="1" applyFont="1" applyFill="1" applyBorder="1" applyAlignment="1">
      <alignment vertical="center"/>
    </xf>
    <xf numFmtId="2" fontId="25" fillId="9" borderId="30" xfId="1" applyNumberFormat="1" applyFont="1" applyFill="1" applyBorder="1" applyAlignment="1">
      <alignment vertical="center"/>
    </xf>
    <xf numFmtId="0" fontId="24" fillId="10" borderId="30" xfId="0" applyFont="1" applyFill="1" applyBorder="1" applyAlignment="1">
      <alignment vertical="center"/>
    </xf>
    <xf numFmtId="0" fontId="24" fillId="10" borderId="26" xfId="0" applyFont="1" applyFill="1" applyBorder="1" applyAlignment="1">
      <alignment vertical="center"/>
    </xf>
    <xf numFmtId="0" fontId="30" fillId="0" borderId="0" xfId="0" applyFont="1" applyAlignment="1">
      <alignment horizontal="left"/>
    </xf>
    <xf numFmtId="0" fontId="24" fillId="0" borderId="7" xfId="0" applyFont="1" applyBorder="1" applyAlignment="1">
      <alignment vertical="center"/>
    </xf>
    <xf numFmtId="0" fontId="39" fillId="0" borderId="50" xfId="0" applyFont="1" applyBorder="1" applyAlignment="1">
      <alignment horizontal="right" vertical="center"/>
    </xf>
    <xf numFmtId="0" fontId="8" fillId="0" borderId="28" xfId="0" applyFont="1" applyBorder="1" applyAlignment="1">
      <alignment horizontal="right" vertical="center"/>
    </xf>
    <xf numFmtId="0" fontId="8" fillId="0" borderId="6" xfId="0" applyFont="1" applyBorder="1" applyAlignment="1">
      <alignment horizontal="left" vertical="center"/>
    </xf>
    <xf numFmtId="3" fontId="8" fillId="0" borderId="6" xfId="1" applyNumberFormat="1" applyBorder="1" applyAlignment="1">
      <alignment horizontal="right" vertical="center"/>
    </xf>
    <xf numFmtId="3" fontId="8" fillId="8" borderId="6" xfId="0" applyNumberFormat="1" applyFont="1" applyFill="1" applyBorder="1" applyAlignment="1">
      <alignment horizontal="right" vertical="center"/>
    </xf>
    <xf numFmtId="3" fontId="25" fillId="9" borderId="35" xfId="0" applyNumberFormat="1" applyFont="1" applyFill="1" applyBorder="1" applyAlignment="1">
      <alignment vertical="center"/>
    </xf>
    <xf numFmtId="0" fontId="30" fillId="0" borderId="0" xfId="0" applyFont="1" applyAlignment="1">
      <alignment horizontal="left" vertical="center"/>
    </xf>
    <xf numFmtId="3" fontId="30" fillId="0" borderId="28" xfId="0" applyNumberFormat="1" applyFont="1" applyBorder="1" applyAlignment="1">
      <alignment horizontal="right" vertical="center"/>
    </xf>
    <xf numFmtId="0" fontId="24" fillId="0" borderId="47" xfId="0" applyFont="1" applyBorder="1" applyAlignment="1">
      <alignment vertical="center"/>
    </xf>
    <xf numFmtId="0" fontId="24" fillId="0" borderId="8" xfId="0" applyFont="1" applyBorder="1" applyAlignment="1">
      <alignment vertical="center"/>
    </xf>
    <xf numFmtId="0" fontId="25" fillId="9" borderId="8" xfId="0" applyFont="1" applyFill="1" applyBorder="1" applyAlignment="1">
      <alignment vertical="center"/>
    </xf>
    <xf numFmtId="0" fontId="24" fillId="0" borderId="55" xfId="0" applyFont="1" applyBorder="1" applyAlignment="1">
      <alignment vertical="center"/>
    </xf>
    <xf numFmtId="0" fontId="25" fillId="9" borderId="22" xfId="0" applyFont="1" applyFill="1" applyBorder="1" applyAlignment="1">
      <alignment vertical="center"/>
    </xf>
    <xf numFmtId="3" fontId="25" fillId="9" borderId="48" xfId="0" applyNumberFormat="1" applyFont="1" applyFill="1" applyBorder="1" applyAlignment="1">
      <alignment vertical="center"/>
    </xf>
    <xf numFmtId="3" fontId="30" fillId="9" borderId="56" xfId="1" applyNumberFormat="1" applyFont="1" applyFill="1" applyBorder="1" applyAlignment="1">
      <alignment horizontal="right" vertical="center"/>
    </xf>
    <xf numFmtId="3" fontId="25" fillId="9" borderId="15" xfId="1" applyNumberFormat="1" applyFont="1" applyFill="1" applyBorder="1" applyAlignment="1">
      <alignment horizontal="right" vertical="center"/>
    </xf>
    <xf numFmtId="0" fontId="30" fillId="0" borderId="28" xfId="0" applyFont="1" applyBorder="1" applyAlignment="1">
      <alignment vertical="center"/>
    </xf>
    <xf numFmtId="0" fontId="8" fillId="0" borderId="27" xfId="0" applyFont="1" applyBorder="1" applyAlignment="1">
      <alignment vertical="center"/>
    </xf>
    <xf numFmtId="0" fontId="30" fillId="0" borderId="19" xfId="0" applyFont="1" applyBorder="1" applyAlignment="1">
      <alignment vertical="center"/>
    </xf>
    <xf numFmtId="3" fontId="30" fillId="0" borderId="6" xfId="0" applyNumberFormat="1" applyFont="1" applyBorder="1" applyAlignment="1">
      <alignment vertical="center"/>
    </xf>
    <xf numFmtId="0" fontId="25" fillId="8" borderId="33" xfId="0" applyFont="1" applyFill="1" applyBorder="1" applyAlignment="1">
      <alignment vertical="center"/>
    </xf>
    <xf numFmtId="0" fontId="24" fillId="8" borderId="30" xfId="0" applyFont="1" applyFill="1" applyBorder="1" applyAlignment="1">
      <alignment vertical="center"/>
    </xf>
    <xf numFmtId="0" fontId="24" fillId="8" borderId="7" xfId="0" applyFont="1" applyFill="1" applyBorder="1" applyAlignment="1">
      <alignment vertical="center"/>
    </xf>
    <xf numFmtId="3" fontId="25" fillId="0" borderId="0" xfId="0" applyNumberFormat="1" applyFont="1" applyAlignment="1">
      <alignment horizontal="right"/>
    </xf>
    <xf numFmtId="171" fontId="8" fillId="0" borderId="0" xfId="0" applyNumberFormat="1" applyFont="1" applyAlignment="1">
      <alignment horizontal="right"/>
    </xf>
    <xf numFmtId="0" fontId="25" fillId="0" borderId="0" xfId="0" applyFont="1" applyAlignment="1">
      <alignment horizontal="right" wrapText="1"/>
    </xf>
    <xf numFmtId="0" fontId="24" fillId="8" borderId="5" xfId="0" applyFont="1" applyFill="1" applyBorder="1" applyAlignment="1">
      <alignment horizontal="left" vertical="center" wrapText="1"/>
    </xf>
    <xf numFmtId="0" fontId="25" fillId="0" borderId="0" xfId="0" applyFont="1" applyAlignment="1">
      <alignment horizontal="left" vertical="center"/>
    </xf>
    <xf numFmtId="0" fontId="24" fillId="2" borderId="30" xfId="0" applyFont="1" applyFill="1" applyBorder="1" applyAlignment="1">
      <alignment vertical="center"/>
    </xf>
    <xf numFmtId="3" fontId="24" fillId="8" borderId="56" xfId="0" applyNumberFormat="1" applyFont="1" applyFill="1" applyBorder="1" applyAlignment="1">
      <alignment vertical="center"/>
    </xf>
    <xf numFmtId="3" fontId="25" fillId="0" borderId="8" xfId="0" applyNumberFormat="1" applyFont="1" applyBorder="1" applyAlignment="1">
      <alignment horizontal="right" vertical="center"/>
    </xf>
    <xf numFmtId="3" fontId="26" fillId="0" borderId="0" xfId="0" applyNumberFormat="1" applyFont="1"/>
    <xf numFmtId="3" fontId="24" fillId="0" borderId="11" xfId="0" applyNumberFormat="1" applyFont="1" applyBorder="1" applyAlignment="1">
      <alignment horizontal="right" vertical="center"/>
    </xf>
    <xf numFmtId="3" fontId="8" fillId="0" borderId="5" xfId="0" applyNumberFormat="1" applyFont="1" applyBorder="1" applyAlignment="1">
      <alignment vertical="center"/>
    </xf>
    <xf numFmtId="3" fontId="8" fillId="0" borderId="52" xfId="0" applyNumberFormat="1" applyFont="1" applyBorder="1" applyAlignment="1">
      <alignment horizontal="right"/>
    </xf>
    <xf numFmtId="3" fontId="8" fillId="0" borderId="31" xfId="0" applyNumberFormat="1" applyFont="1" applyBorder="1" applyAlignment="1">
      <alignment horizontal="right"/>
    </xf>
    <xf numFmtId="3" fontId="23" fillId="0" borderId="0" xfId="0" applyNumberFormat="1" applyFont="1"/>
    <xf numFmtId="3" fontId="30" fillId="0" borderId="45" xfId="0" applyNumberFormat="1" applyFont="1" applyBorder="1"/>
    <xf numFmtId="3" fontId="25" fillId="9" borderId="1" xfId="0" applyNumberFormat="1" applyFont="1" applyFill="1" applyBorder="1" applyAlignment="1">
      <alignment horizontal="right"/>
    </xf>
    <xf numFmtId="3" fontId="28" fillId="0" borderId="0" xfId="1" applyNumberFormat="1" applyFont="1" applyAlignment="1">
      <alignment horizontal="right"/>
    </xf>
    <xf numFmtId="3" fontId="24" fillId="0" borderId="33" xfId="1" applyNumberFormat="1" applyFont="1" applyBorder="1" applyAlignment="1">
      <alignment horizontal="right" vertical="center"/>
    </xf>
    <xf numFmtId="3" fontId="24" fillId="0" borderId="13" xfId="1" applyNumberFormat="1" applyFont="1" applyBorder="1" applyAlignment="1">
      <alignment horizontal="right" vertical="center"/>
    </xf>
    <xf numFmtId="3" fontId="24" fillId="0" borderId="27" xfId="1" applyNumberFormat="1" applyFont="1" applyBorder="1" applyAlignment="1">
      <alignment horizontal="right" vertical="center"/>
    </xf>
    <xf numFmtId="3" fontId="24" fillId="9" borderId="8" xfId="0" applyNumberFormat="1" applyFont="1" applyFill="1" applyBorder="1" applyAlignment="1">
      <alignment vertical="center"/>
    </xf>
    <xf numFmtId="3" fontId="24" fillId="0" borderId="55" xfId="0" applyNumberFormat="1" applyFont="1" applyBorder="1" applyAlignment="1">
      <alignment vertical="center"/>
    </xf>
    <xf numFmtId="3" fontId="24" fillId="0" borderId="0" xfId="1" applyNumberFormat="1" applyFont="1" applyAlignment="1">
      <alignment horizontal="right" vertical="center"/>
    </xf>
    <xf numFmtId="3" fontId="24" fillId="0" borderId="52" xfId="0" applyNumberFormat="1" applyFont="1" applyBorder="1" applyAlignment="1">
      <alignment horizontal="right"/>
    </xf>
    <xf numFmtId="0" fontId="8" fillId="0" borderId="23" xfId="0" applyFont="1" applyBorder="1" applyAlignment="1">
      <alignment horizontal="center" vertical="center" wrapText="1"/>
    </xf>
    <xf numFmtId="3" fontId="24" fillId="9" borderId="5" xfId="1" applyNumberFormat="1" applyFont="1" applyFill="1" applyBorder="1" applyAlignment="1">
      <alignment horizontal="right" vertical="center"/>
    </xf>
    <xf numFmtId="3" fontId="24" fillId="9" borderId="2" xfId="0" applyNumberFormat="1" applyFont="1" applyFill="1" applyBorder="1" applyAlignment="1">
      <alignment vertical="center"/>
    </xf>
    <xf numFmtId="0" fontId="24" fillId="0" borderId="0" xfId="0" applyFont="1" applyAlignment="1">
      <alignment horizontal="left" vertical="center"/>
    </xf>
    <xf numFmtId="3" fontId="24" fillId="0" borderId="27" xfId="0" applyNumberFormat="1" applyFont="1" applyBorder="1" applyAlignment="1">
      <alignment horizontal="right" vertical="center"/>
    </xf>
    <xf numFmtId="3" fontId="24" fillId="9" borderId="5" xfId="0" applyNumberFormat="1" applyFont="1" applyFill="1" applyBorder="1" applyAlignment="1">
      <alignment vertical="center"/>
    </xf>
    <xf numFmtId="3" fontId="24" fillId="0" borderId="15" xfId="0" applyNumberFormat="1" applyFont="1" applyBorder="1" applyAlignment="1">
      <alignment vertical="center"/>
    </xf>
    <xf numFmtId="3" fontId="24" fillId="0" borderId="0" xfId="0" applyNumberFormat="1" applyFont="1" applyAlignment="1">
      <alignment vertical="center"/>
    </xf>
    <xf numFmtId="0" fontId="24" fillId="9" borderId="2" xfId="0" applyFont="1" applyFill="1" applyBorder="1" applyAlignment="1">
      <alignment horizontal="left"/>
    </xf>
    <xf numFmtId="3" fontId="28" fillId="0" borderId="43" xfId="1" applyNumberFormat="1" applyFont="1" applyBorder="1" applyAlignment="1">
      <alignment horizontal="right"/>
    </xf>
    <xf numFmtId="3" fontId="24" fillId="9" borderId="15" xfId="1" applyNumberFormat="1" applyFont="1" applyFill="1" applyBorder="1" applyAlignment="1">
      <alignment horizontal="right" vertical="center"/>
    </xf>
    <xf numFmtId="3" fontId="24" fillId="0" borderId="43" xfId="0" applyNumberFormat="1" applyFont="1" applyBorder="1" applyAlignment="1">
      <alignment vertical="center"/>
    </xf>
    <xf numFmtId="3" fontId="24" fillId="0" borderId="5" xfId="0" applyNumberFormat="1" applyFont="1" applyBorder="1" applyAlignment="1">
      <alignment vertical="center"/>
    </xf>
    <xf numFmtId="3" fontId="24" fillId="0" borderId="7" xfId="0" applyNumberFormat="1" applyFont="1" applyBorder="1" applyAlignment="1">
      <alignment horizontal="right"/>
    </xf>
    <xf numFmtId="3" fontId="24" fillId="9" borderId="53" xfId="0" applyNumberFormat="1" applyFont="1" applyFill="1" applyBorder="1"/>
    <xf numFmtId="3" fontId="24" fillId="10" borderId="5" xfId="0" applyNumberFormat="1" applyFont="1" applyFill="1" applyBorder="1" applyAlignment="1">
      <alignment horizontal="right" vertical="center"/>
    </xf>
    <xf numFmtId="3" fontId="24" fillId="2" borderId="5" xfId="0" applyNumberFormat="1" applyFont="1" applyFill="1" applyBorder="1" applyAlignment="1">
      <alignment horizontal="right" vertical="center"/>
    </xf>
    <xf numFmtId="3" fontId="24" fillId="8" borderId="5" xfId="0" applyNumberFormat="1" applyFont="1" applyFill="1" applyBorder="1" applyAlignment="1">
      <alignment horizontal="right" vertical="center"/>
    </xf>
    <xf numFmtId="0" fontId="24" fillId="9" borderId="2" xfId="0" applyFont="1" applyFill="1" applyBorder="1"/>
    <xf numFmtId="3" fontId="47" fillId="0" borderId="5" xfId="0" applyNumberFormat="1" applyFont="1" applyBorder="1" applyAlignment="1">
      <alignment horizontal="right" vertical="center"/>
    </xf>
    <xf numFmtId="0" fontId="8" fillId="9" borderId="2" xfId="0" applyFont="1" applyFill="1" applyBorder="1"/>
    <xf numFmtId="3" fontId="24" fillId="0" borderId="0" xfId="0" applyNumberFormat="1" applyFont="1" applyAlignment="1">
      <alignment horizontal="left"/>
    </xf>
    <xf numFmtId="3" fontId="24" fillId="0" borderId="43" xfId="1" applyNumberFormat="1" applyFont="1" applyBorder="1" applyAlignment="1">
      <alignment horizontal="right" vertical="center"/>
    </xf>
    <xf numFmtId="3" fontId="24" fillId="9" borderId="54" xfId="1" applyNumberFormat="1" applyFont="1" applyFill="1" applyBorder="1" applyAlignment="1">
      <alignment horizontal="right" vertical="center"/>
    </xf>
    <xf numFmtId="3" fontId="24" fillId="9" borderId="22" xfId="0" applyNumberFormat="1" applyFont="1" applyFill="1" applyBorder="1" applyAlignment="1">
      <alignment vertical="center"/>
    </xf>
    <xf numFmtId="3" fontId="24" fillId="9" borderId="39" xfId="0" applyNumberFormat="1" applyFont="1" applyFill="1" applyBorder="1" applyAlignment="1">
      <alignment horizontal="left"/>
    </xf>
    <xf numFmtId="3" fontId="28" fillId="0" borderId="2" xfId="1" applyNumberFormat="1" applyFont="1" applyBorder="1" applyAlignment="1">
      <alignment horizontal="right"/>
    </xf>
    <xf numFmtId="3" fontId="8" fillId="9" borderId="39" xfId="0" applyNumberFormat="1" applyFont="1" applyFill="1" applyBorder="1"/>
    <xf numFmtId="3" fontId="30" fillId="0" borderId="7" xfId="0" applyNumberFormat="1" applyFont="1" applyBorder="1" applyAlignment="1">
      <alignment horizontal="center" vertical="center" wrapText="1"/>
    </xf>
    <xf numFmtId="172" fontId="36" fillId="8" borderId="5" xfId="0" applyNumberFormat="1" applyFont="1" applyFill="1" applyBorder="1" applyAlignment="1">
      <alignment horizontal="right" vertical="center"/>
    </xf>
    <xf numFmtId="0" fontId="24" fillId="11" borderId="8" xfId="0" applyFont="1" applyFill="1" applyBorder="1" applyAlignment="1">
      <alignment vertical="center"/>
    </xf>
    <xf numFmtId="3" fontId="24" fillId="12" borderId="5" xfId="1" applyNumberFormat="1" applyFont="1" applyFill="1" applyBorder="1" applyAlignment="1">
      <alignment horizontal="right" vertical="center"/>
    </xf>
    <xf numFmtId="3" fontId="25" fillId="12" borderId="8" xfId="0" applyNumberFormat="1" applyFont="1" applyFill="1" applyBorder="1" applyAlignment="1">
      <alignment horizontal="right" vertical="center"/>
    </xf>
    <xf numFmtId="3" fontId="23" fillId="12" borderId="8" xfId="0" applyNumberFormat="1" applyFont="1" applyFill="1" applyBorder="1" applyAlignment="1">
      <alignment horizontal="right" vertical="center"/>
    </xf>
    <xf numFmtId="3" fontId="25" fillId="2" borderId="8" xfId="0" applyNumberFormat="1" applyFont="1" applyFill="1" applyBorder="1" applyAlignment="1">
      <alignment horizontal="right" vertical="center"/>
    </xf>
    <xf numFmtId="0" fontId="24" fillId="8" borderId="6" xfId="0" applyFont="1" applyFill="1" applyBorder="1" applyAlignment="1">
      <alignment vertical="center"/>
    </xf>
    <xf numFmtId="3" fontId="25" fillId="8" borderId="5" xfId="0" applyNumberFormat="1" applyFont="1" applyFill="1" applyBorder="1" applyAlignment="1">
      <alignment horizontal="right" vertical="center"/>
    </xf>
    <xf numFmtId="3" fontId="24" fillId="8" borderId="5" xfId="1" applyNumberFormat="1" applyFont="1" applyFill="1" applyBorder="1" applyAlignment="1">
      <alignment horizontal="right" vertical="center"/>
    </xf>
    <xf numFmtId="3" fontId="8" fillId="8" borderId="10" xfId="0" applyNumberFormat="1" applyFont="1" applyFill="1" applyBorder="1" applyAlignment="1">
      <alignment horizontal="right" vertical="center"/>
    </xf>
    <xf numFmtId="3" fontId="8" fillId="8" borderId="5" xfId="0" applyNumberFormat="1" applyFont="1" applyFill="1" applyBorder="1" applyAlignment="1">
      <alignment horizontal="right" vertical="center"/>
    </xf>
    <xf numFmtId="3" fontId="25" fillId="8" borderId="8" xfId="0" applyNumberFormat="1" applyFont="1" applyFill="1" applyBorder="1" applyAlignment="1">
      <alignment horizontal="right" vertical="center"/>
    </xf>
    <xf numFmtId="3" fontId="8" fillId="8" borderId="0" xfId="0" applyNumberFormat="1" applyFont="1" applyFill="1" applyAlignment="1">
      <alignment vertical="center"/>
    </xf>
    <xf numFmtId="0" fontId="24" fillId="8" borderId="0" xfId="0" applyFont="1" applyFill="1" applyAlignment="1">
      <alignment vertical="center"/>
    </xf>
    <xf numFmtId="169" fontId="24" fillId="8" borderId="0" xfId="0" applyNumberFormat="1" applyFont="1" applyFill="1" applyAlignment="1">
      <alignment vertical="center"/>
    </xf>
    <xf numFmtId="169" fontId="45" fillId="8" borderId="0" xfId="0" applyNumberFormat="1" applyFont="1" applyFill="1" applyAlignment="1">
      <alignment vertical="center"/>
    </xf>
    <xf numFmtId="0" fontId="28" fillId="0" borderId="0" xfId="0" applyFont="1" applyAlignment="1">
      <alignment horizontal="left"/>
    </xf>
    <xf numFmtId="0" fontId="28" fillId="0" borderId="5" xfId="0" applyFont="1" applyBorder="1" applyAlignment="1">
      <alignment horizontal="left" vertical="center"/>
    </xf>
    <xf numFmtId="3" fontId="28" fillId="0" borderId="5" xfId="1" applyNumberFormat="1" applyFont="1" applyBorder="1" applyAlignment="1">
      <alignment horizontal="right" vertical="center"/>
    </xf>
    <xf numFmtId="0" fontId="28" fillId="0" borderId="5" xfId="0" applyFont="1" applyBorder="1" applyAlignment="1">
      <alignment horizontal="right" vertical="center"/>
    </xf>
    <xf numFmtId="3" fontId="28" fillId="0" borderId="5" xfId="0" applyNumberFormat="1" applyFont="1" applyBorder="1" applyAlignment="1">
      <alignment horizontal="right" vertical="center"/>
    </xf>
    <xf numFmtId="3" fontId="28" fillId="0" borderId="27" xfId="0" applyNumberFormat="1" applyFont="1" applyBorder="1" applyAlignment="1">
      <alignment horizontal="right" vertical="center"/>
    </xf>
    <xf numFmtId="3" fontId="28" fillId="0" borderId="0" xfId="0" applyNumberFormat="1" applyFont="1" applyAlignment="1">
      <alignment vertical="center"/>
    </xf>
    <xf numFmtId="3" fontId="28" fillId="0" borderId="0" xfId="0" applyNumberFormat="1" applyFont="1" applyAlignment="1">
      <alignment horizontal="right"/>
    </xf>
    <xf numFmtId="0" fontId="28" fillId="0" borderId="0" xfId="0" applyFont="1" applyAlignment="1">
      <alignment horizontal="center"/>
    </xf>
    <xf numFmtId="0" fontId="30" fillId="0" borderId="5" xfId="0" applyFont="1" applyBorder="1" applyAlignment="1">
      <alignment horizontal="left" vertical="center"/>
    </xf>
    <xf numFmtId="3" fontId="30" fillId="0" borderId="27" xfId="0" applyNumberFormat="1" applyFont="1" applyBorder="1" applyAlignment="1">
      <alignment horizontal="right" vertical="center"/>
    </xf>
    <xf numFmtId="3" fontId="30" fillId="0" borderId="5" xfId="0" applyNumberFormat="1" applyFont="1" applyBorder="1" applyAlignment="1">
      <alignment horizontal="right"/>
    </xf>
    <xf numFmtId="0" fontId="30" fillId="0" borderId="5" xfId="0" applyFont="1" applyBorder="1" applyAlignment="1">
      <alignment horizontal="left"/>
    </xf>
    <xf numFmtId="0" fontId="30" fillId="0" borderId="0" xfId="0" applyFont="1" applyAlignment="1">
      <alignment horizontal="center"/>
    </xf>
    <xf numFmtId="0" fontId="23" fillId="0" borderId="0" xfId="0" applyFont="1" applyAlignment="1">
      <alignment horizontal="left"/>
    </xf>
    <xf numFmtId="3" fontId="27" fillId="0" borderId="5" xfId="1" applyNumberFormat="1" applyFont="1" applyBorder="1" applyAlignment="1">
      <alignment horizontal="right" vertical="center"/>
    </xf>
    <xf numFmtId="173" fontId="28" fillId="0" borderId="5" xfId="1" applyNumberFormat="1" applyFont="1" applyBorder="1" applyAlignment="1">
      <alignment horizontal="right" vertical="center"/>
    </xf>
    <xf numFmtId="0" fontId="30" fillId="0" borderId="5" xfId="0" applyFont="1" applyBorder="1" applyAlignment="1">
      <alignment vertical="center"/>
    </xf>
    <xf numFmtId="4" fontId="28" fillId="0" borderId="5" xfId="0" applyNumberFormat="1" applyFont="1" applyBorder="1" applyAlignment="1">
      <alignment horizontal="right" vertical="center"/>
    </xf>
    <xf numFmtId="173" fontId="28" fillId="0" borderId="5" xfId="0" applyNumberFormat="1" applyFont="1" applyBorder="1" applyAlignment="1">
      <alignment horizontal="right" vertical="center"/>
    </xf>
    <xf numFmtId="9" fontId="30" fillId="0" borderId="0" xfId="0" applyNumberFormat="1" applyFont="1" applyAlignment="1">
      <alignment horizontal="right"/>
    </xf>
    <xf numFmtId="3" fontId="25" fillId="0" borderId="47" xfId="1" applyNumberFormat="1" applyFont="1" applyBorder="1" applyAlignment="1">
      <alignment horizontal="right" vertical="center"/>
    </xf>
    <xf numFmtId="3" fontId="25" fillId="0" borderId="8" xfId="1" applyNumberFormat="1" applyFont="1" applyBorder="1" applyAlignment="1">
      <alignment horizontal="right" vertical="center"/>
    </xf>
    <xf numFmtId="0" fontId="28" fillId="0" borderId="5" xfId="0" applyFont="1" applyBorder="1" applyAlignment="1">
      <alignment horizontal="center" vertical="center" textRotation="90" wrapText="1"/>
    </xf>
    <xf numFmtId="0" fontId="30" fillId="0" borderId="5" xfId="0" applyFont="1" applyBorder="1" applyAlignment="1">
      <alignment horizontal="center" vertical="center" textRotation="90" wrapText="1"/>
    </xf>
    <xf numFmtId="0" fontId="25" fillId="0" borderId="5" xfId="0" applyFont="1" applyBorder="1" applyAlignment="1">
      <alignment vertical="center"/>
    </xf>
    <xf numFmtId="0" fontId="28" fillId="0" borderId="5" xfId="0" applyFont="1" applyBorder="1" applyAlignment="1">
      <alignment vertical="center"/>
    </xf>
    <xf numFmtId="3" fontId="28" fillId="0" borderId="5" xfId="0" applyNumberFormat="1" applyFont="1" applyBorder="1" applyAlignment="1">
      <alignment vertical="center"/>
    </xf>
    <xf numFmtId="173" fontId="28" fillId="0" borderId="5" xfId="0" applyNumberFormat="1" applyFont="1" applyBorder="1" applyAlignment="1">
      <alignment vertical="center"/>
    </xf>
    <xf numFmtId="0" fontId="25" fillId="0" borderId="5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33" fillId="0" borderId="0" xfId="0" applyFont="1" applyAlignment="1">
      <alignment vertical="center" wrapText="1"/>
    </xf>
    <xf numFmtId="0" fontId="33" fillId="0" borderId="0" xfId="0" applyFont="1" applyAlignment="1">
      <alignment horizontal="center" vertical="center" wrapText="1"/>
    </xf>
    <xf numFmtId="0" fontId="39" fillId="0" borderId="5" xfId="0" applyFont="1" applyBorder="1" applyAlignme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3" fontId="25" fillId="0" borderId="0" xfId="0" applyNumberFormat="1" applyFont="1" applyAlignment="1">
      <alignment horizontal="left" vertical="center"/>
    </xf>
    <xf numFmtId="0" fontId="25" fillId="0" borderId="0" xfId="0" applyFont="1" applyAlignment="1">
      <alignment vertical="center" wrapText="1"/>
    </xf>
    <xf numFmtId="3" fontId="8" fillId="0" borderId="28" xfId="0" applyNumberFormat="1" applyFont="1" applyBorder="1" applyAlignment="1">
      <alignment horizontal="right" vertical="center"/>
    </xf>
    <xf numFmtId="173" fontId="28" fillId="0" borderId="27" xfId="0" applyNumberFormat="1" applyFont="1" applyBorder="1" applyAlignment="1">
      <alignment vertical="center"/>
    </xf>
    <xf numFmtId="0" fontId="25" fillId="0" borderId="27" xfId="0" applyFont="1" applyBorder="1" applyAlignment="1">
      <alignment horizontal="left" vertical="center"/>
    </xf>
    <xf numFmtId="0" fontId="28" fillId="0" borderId="27" xfId="0" applyFont="1" applyBorder="1" applyAlignment="1">
      <alignment horizontal="right" vertical="center"/>
    </xf>
    <xf numFmtId="0" fontId="8" fillId="0" borderId="50" xfId="0" applyFont="1" applyBorder="1" applyAlignment="1">
      <alignment horizontal="right" vertical="center"/>
    </xf>
    <xf numFmtId="0" fontId="8" fillId="0" borderId="6" xfId="0" applyFont="1" applyBorder="1" applyAlignment="1">
      <alignment horizontal="center" vertical="center"/>
    </xf>
    <xf numFmtId="174" fontId="24" fillId="0" borderId="0" xfId="0" applyNumberFormat="1" applyFont="1" applyAlignment="1">
      <alignment horizontal="left"/>
    </xf>
    <xf numFmtId="0" fontId="30" fillId="0" borderId="5" xfId="0" applyFont="1" applyBorder="1" applyAlignment="1">
      <alignment horizontal="center"/>
    </xf>
    <xf numFmtId="0" fontId="48" fillId="0" borderId="5" xfId="0" applyFont="1" applyBorder="1" applyAlignment="1">
      <alignment horizontal="right" vertical="center"/>
    </xf>
    <xf numFmtId="0" fontId="28" fillId="0" borderId="28" xfId="0" applyFont="1" applyBorder="1" applyAlignment="1">
      <alignment horizontal="right" vertical="center"/>
    </xf>
    <xf numFmtId="0" fontId="28" fillId="0" borderId="6" xfId="0" applyFont="1" applyBorder="1" applyAlignment="1">
      <alignment horizontal="right" vertical="center"/>
    </xf>
    <xf numFmtId="0" fontId="48" fillId="0" borderId="27" xfId="0" applyFont="1" applyBorder="1" applyAlignment="1">
      <alignment horizontal="right" vertical="center"/>
    </xf>
    <xf numFmtId="3" fontId="8" fillId="0" borderId="24" xfId="0" applyNumberFormat="1" applyFont="1" applyBorder="1" applyAlignment="1">
      <alignment horizontal="right" vertical="center"/>
    </xf>
    <xf numFmtId="3" fontId="8" fillId="0" borderId="7" xfId="0" applyNumberFormat="1" applyFont="1" applyBorder="1" applyAlignment="1">
      <alignment horizontal="right" vertical="center"/>
    </xf>
    <xf numFmtId="4" fontId="28" fillId="0" borderId="5" xfId="1" applyNumberFormat="1" applyFont="1" applyBorder="1" applyAlignment="1">
      <alignment horizontal="right" vertical="center"/>
    </xf>
    <xf numFmtId="0" fontId="39" fillId="0" borderId="5" xfId="0" applyFont="1" applyBorder="1" applyAlignment="1">
      <alignment horizontal="right" vertical="center"/>
    </xf>
    <xf numFmtId="3" fontId="49" fillId="0" borderId="5" xfId="0" applyNumberFormat="1" applyFont="1" applyBorder="1" applyAlignment="1">
      <alignment horizontal="right" vertical="center"/>
    </xf>
    <xf numFmtId="0" fontId="25" fillId="0" borderId="3" xfId="0" applyFont="1" applyBorder="1" applyAlignment="1">
      <alignment horizontal="center" vertical="center"/>
    </xf>
    <xf numFmtId="0" fontId="25" fillId="0" borderId="2" xfId="0" applyFont="1" applyBorder="1" applyAlignment="1">
      <alignment vertical="center" wrapText="1"/>
    </xf>
    <xf numFmtId="0" fontId="30" fillId="0" borderId="3" xfId="0" applyFont="1" applyBorder="1" applyAlignment="1">
      <alignment horizontal="center" vertical="center"/>
    </xf>
    <xf numFmtId="3" fontId="25" fillId="0" borderId="2" xfId="0" applyNumberFormat="1" applyFont="1" applyBorder="1" applyAlignment="1">
      <alignment horizontal="right" vertical="center"/>
    </xf>
    <xf numFmtId="0" fontId="24" fillId="0" borderId="2" xfId="0" applyFont="1" applyBorder="1" applyAlignment="1">
      <alignment horizontal="left" vertical="center"/>
    </xf>
    <xf numFmtId="0" fontId="28" fillId="0" borderId="2" xfId="0" applyFont="1" applyBorder="1" applyAlignment="1">
      <alignment horizontal="left" vertical="center"/>
    </xf>
    <xf numFmtId="0" fontId="25" fillId="0" borderId="2" xfId="0" applyFont="1" applyBorder="1" applyAlignment="1">
      <alignment horizontal="left" vertical="center"/>
    </xf>
    <xf numFmtId="3" fontId="30" fillId="0" borderId="3" xfId="0" applyNumberFormat="1" applyFont="1" applyBorder="1" applyAlignment="1">
      <alignment horizontal="right" vertical="center"/>
    </xf>
    <xf numFmtId="0" fontId="24" fillId="0" borderId="2" xfId="0" applyFont="1" applyBorder="1" applyAlignment="1">
      <alignment vertical="center"/>
    </xf>
    <xf numFmtId="0" fontId="25" fillId="0" borderId="2" xfId="0" applyFont="1" applyBorder="1" applyAlignment="1">
      <alignment vertical="center"/>
    </xf>
    <xf numFmtId="0" fontId="30" fillId="0" borderId="2" xfId="0" applyFont="1" applyBorder="1" applyAlignment="1">
      <alignment vertical="center"/>
    </xf>
    <xf numFmtId="0" fontId="30" fillId="0" borderId="48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3" fontId="8" fillId="0" borderId="39" xfId="0" applyNumberFormat="1" applyFont="1" applyBorder="1" applyAlignment="1">
      <alignment vertical="center"/>
    </xf>
    <xf numFmtId="0" fontId="24" fillId="0" borderId="5" xfId="0" applyFont="1" applyBorder="1" applyAlignment="1">
      <alignment horizontal="center" vertical="center"/>
    </xf>
    <xf numFmtId="0" fontId="25" fillId="0" borderId="24" xfId="0" applyFont="1" applyBorder="1" applyAlignment="1">
      <alignment horizontal="left" vertical="center"/>
    </xf>
    <xf numFmtId="3" fontId="30" fillId="0" borderId="0" xfId="0" applyNumberFormat="1" applyFont="1" applyAlignment="1">
      <alignment horizontal="right"/>
    </xf>
    <xf numFmtId="0" fontId="27" fillId="0" borderId="5" xfId="0" applyFont="1" applyBorder="1" applyAlignment="1">
      <alignment vertical="center"/>
    </xf>
    <xf numFmtId="4" fontId="28" fillId="0" borderId="5" xfId="0" applyNumberFormat="1" applyFont="1" applyBorder="1" applyAlignment="1">
      <alignment horizontal="left" vertical="center"/>
    </xf>
    <xf numFmtId="169" fontId="24" fillId="0" borderId="5" xfId="0" applyNumberFormat="1" applyFont="1" applyBorder="1" applyAlignment="1">
      <alignment horizontal="right" vertical="center"/>
    </xf>
    <xf numFmtId="0" fontId="8" fillId="0" borderId="24" xfId="0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30" fillId="0" borderId="53" xfId="0" applyFont="1" applyBorder="1" applyAlignment="1">
      <alignment vertical="center"/>
    </xf>
    <xf numFmtId="172" fontId="24" fillId="0" borderId="5" xfId="0" applyNumberFormat="1" applyFont="1" applyBorder="1" applyAlignment="1">
      <alignment horizontal="right" vertical="center"/>
    </xf>
    <xf numFmtId="0" fontId="28" fillId="0" borderId="0" xfId="0" applyFont="1" applyAlignment="1">
      <alignment wrapText="1"/>
    </xf>
    <xf numFmtId="0" fontId="28" fillId="0" borderId="5" xfId="0" applyFont="1" applyBorder="1" applyAlignment="1">
      <alignment vertical="center" wrapText="1"/>
    </xf>
    <xf numFmtId="2" fontId="28" fillId="0" borderId="5" xfId="1" applyNumberFormat="1" applyFont="1" applyBorder="1" applyAlignment="1">
      <alignment vertical="center" wrapText="1"/>
    </xf>
    <xf numFmtId="0" fontId="28" fillId="0" borderId="5" xfId="0" applyFont="1" applyBorder="1" applyAlignment="1">
      <alignment horizontal="left" vertical="center" wrapText="1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 wrapText="1"/>
    </xf>
    <xf numFmtId="0" fontId="28" fillId="0" borderId="26" xfId="0" applyFont="1" applyBorder="1" applyAlignment="1">
      <alignment vertical="center"/>
    </xf>
    <xf numFmtId="0" fontId="28" fillId="0" borderId="30" xfId="0" applyFont="1" applyBorder="1" applyAlignment="1">
      <alignment vertical="center"/>
    </xf>
    <xf numFmtId="0" fontId="27" fillId="0" borderId="35" xfId="0" applyFont="1" applyBorder="1" applyAlignment="1">
      <alignment vertical="center" wrapText="1"/>
    </xf>
    <xf numFmtId="0" fontId="27" fillId="0" borderId="0" xfId="0" applyFont="1" applyAlignment="1">
      <alignment wrapText="1"/>
    </xf>
    <xf numFmtId="0" fontId="8" fillId="0" borderId="5" xfId="0" applyFont="1" applyBorder="1" applyAlignment="1">
      <alignment horizontal="center" vertical="center" textRotation="90" wrapText="1"/>
    </xf>
    <xf numFmtId="3" fontId="25" fillId="0" borderId="5" xfId="0" applyNumberFormat="1" applyFont="1" applyBorder="1" applyAlignment="1">
      <alignment horizontal="center" vertical="center" textRotation="90" wrapText="1"/>
    </xf>
    <xf numFmtId="0" fontId="24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horizontal="left" vertical="center" wrapText="1"/>
    </xf>
    <xf numFmtId="3" fontId="8" fillId="0" borderId="0" xfId="0" applyNumberFormat="1" applyFont="1" applyAlignment="1">
      <alignment horizontal="center" vertical="center" wrapText="1"/>
    </xf>
    <xf numFmtId="3" fontId="30" fillId="0" borderId="0" xfId="0" applyNumberFormat="1" applyFont="1" applyAlignment="1">
      <alignment horizontal="right" vertical="center"/>
    </xf>
    <xf numFmtId="0" fontId="24" fillId="0" borderId="0" xfId="0" applyFont="1" applyAlignment="1">
      <alignment horizontal="left" vertical="center" wrapText="1"/>
    </xf>
    <xf numFmtId="0" fontId="28" fillId="0" borderId="0" xfId="0" applyFont="1" applyAlignment="1">
      <alignment horizontal="right" vertical="center"/>
    </xf>
    <xf numFmtId="0" fontId="24" fillId="0" borderId="0" xfId="0" applyFont="1" applyAlignment="1">
      <alignment horizontal="right" vertical="center"/>
    </xf>
    <xf numFmtId="4" fontId="28" fillId="0" borderId="0" xfId="1" applyNumberFormat="1" applyFont="1" applyAlignment="1">
      <alignment horizontal="right" vertical="center"/>
    </xf>
    <xf numFmtId="3" fontId="8" fillId="0" borderId="0" xfId="1" applyNumberFormat="1" applyAlignment="1">
      <alignment horizontal="right" vertical="center"/>
    </xf>
    <xf numFmtId="173" fontId="28" fillId="0" borderId="0" xfId="1" applyNumberFormat="1" applyFont="1" applyAlignment="1">
      <alignment horizontal="right" vertical="center"/>
    </xf>
    <xf numFmtId="4" fontId="2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3" fontId="24" fillId="0" borderId="0" xfId="0" applyNumberFormat="1" applyFont="1" applyAlignment="1">
      <alignment horizontal="right" vertical="center"/>
    </xf>
    <xf numFmtId="0" fontId="25" fillId="10" borderId="5" xfId="0" applyFont="1" applyFill="1" applyBorder="1" applyAlignment="1">
      <alignment horizontal="center" vertical="center"/>
    </xf>
    <xf numFmtId="0" fontId="25" fillId="10" borderId="5" xfId="0" applyFont="1" applyFill="1" applyBorder="1" applyAlignment="1">
      <alignment vertical="center" wrapText="1"/>
    </xf>
    <xf numFmtId="2" fontId="27" fillId="10" borderId="5" xfId="1" applyNumberFormat="1" applyFont="1" applyFill="1" applyBorder="1" applyAlignment="1">
      <alignment vertical="center" wrapText="1"/>
    </xf>
    <xf numFmtId="3" fontId="30" fillId="10" borderId="5" xfId="1" applyNumberFormat="1" applyFont="1" applyFill="1" applyBorder="1" applyAlignment="1">
      <alignment horizontal="right" vertical="center"/>
    </xf>
    <xf numFmtId="3" fontId="25" fillId="10" borderId="5" xfId="1" applyNumberFormat="1" applyFont="1" applyFill="1" applyBorder="1" applyAlignment="1">
      <alignment horizontal="right" vertical="center"/>
    </xf>
    <xf numFmtId="169" fontId="25" fillId="10" borderId="0" xfId="0" applyNumberFormat="1" applyFont="1" applyFill="1" applyAlignment="1">
      <alignment horizontal="right" vertical="center"/>
    </xf>
    <xf numFmtId="0" fontId="30" fillId="10" borderId="0" xfId="0" applyFont="1" applyFill="1" applyAlignment="1">
      <alignment vertical="center"/>
    </xf>
    <xf numFmtId="0" fontId="25" fillId="13" borderId="5" xfId="0" applyFont="1" applyFill="1" applyBorder="1" applyAlignment="1">
      <alignment horizontal="center" vertical="center"/>
    </xf>
    <xf numFmtId="0" fontId="25" fillId="13" borderId="5" xfId="0" applyFont="1" applyFill="1" applyBorder="1" applyAlignment="1">
      <alignment vertical="center"/>
    </xf>
    <xf numFmtId="0" fontId="27" fillId="13" borderId="5" xfId="0" applyFont="1" applyFill="1" applyBorder="1" applyAlignment="1">
      <alignment vertical="center"/>
    </xf>
    <xf numFmtId="3" fontId="30" fillId="13" borderId="5" xfId="0" applyNumberFormat="1" applyFont="1" applyFill="1" applyBorder="1" applyAlignment="1">
      <alignment vertical="center"/>
    </xf>
    <xf numFmtId="3" fontId="25" fillId="13" borderId="5" xfId="0" applyNumberFormat="1" applyFont="1" applyFill="1" applyBorder="1" applyAlignment="1">
      <alignment vertical="center"/>
    </xf>
    <xf numFmtId="3" fontId="25" fillId="13" borderId="5" xfId="0" applyNumberFormat="1" applyFont="1" applyFill="1" applyBorder="1" applyAlignment="1">
      <alignment horizontal="right" vertical="center"/>
    </xf>
    <xf numFmtId="169" fontId="25" fillId="13" borderId="0" xfId="0" applyNumberFormat="1" applyFont="1" applyFill="1" applyAlignment="1">
      <alignment horizontal="right" vertical="center"/>
    </xf>
    <xf numFmtId="3" fontId="30" fillId="13" borderId="0" xfId="0" applyNumberFormat="1" applyFont="1" applyFill="1" applyAlignment="1">
      <alignment vertical="center"/>
    </xf>
    <xf numFmtId="0" fontId="25" fillId="14" borderId="5" xfId="0" applyFont="1" applyFill="1" applyBorder="1" applyAlignment="1">
      <alignment horizontal="center" vertical="center"/>
    </xf>
    <xf numFmtId="0" fontId="25" fillId="14" borderId="5" xfId="0" applyFont="1" applyFill="1" applyBorder="1" applyAlignment="1">
      <alignment vertical="center"/>
    </xf>
    <xf numFmtId="0" fontId="27" fillId="14" borderId="5" xfId="0" applyFont="1" applyFill="1" applyBorder="1" applyAlignment="1">
      <alignment vertical="center"/>
    </xf>
    <xf numFmtId="3" fontId="30" fillId="14" borderId="5" xfId="0" applyNumberFormat="1" applyFont="1" applyFill="1" applyBorder="1" applyAlignment="1">
      <alignment vertical="center"/>
    </xf>
    <xf numFmtId="3" fontId="25" fillId="14" borderId="5" xfId="0" applyNumberFormat="1" applyFont="1" applyFill="1" applyBorder="1" applyAlignment="1">
      <alignment vertical="center"/>
    </xf>
    <xf numFmtId="3" fontId="25" fillId="14" borderId="5" xfId="0" applyNumberFormat="1" applyFont="1" applyFill="1" applyBorder="1" applyAlignment="1">
      <alignment horizontal="right" vertical="center"/>
    </xf>
    <xf numFmtId="169" fontId="25" fillId="14" borderId="0" xfId="0" applyNumberFormat="1" applyFont="1" applyFill="1" applyAlignment="1">
      <alignment horizontal="right" vertical="center"/>
    </xf>
    <xf numFmtId="3" fontId="30" fillId="14" borderId="0" xfId="0" applyNumberFormat="1" applyFont="1" applyFill="1" applyAlignment="1">
      <alignment vertical="center"/>
    </xf>
    <xf numFmtId="0" fontId="25" fillId="8" borderId="5" xfId="0" applyFont="1" applyFill="1" applyBorder="1" applyAlignment="1">
      <alignment horizontal="center" vertical="center"/>
    </xf>
    <xf numFmtId="0" fontId="25" fillId="8" borderId="5" xfId="0" applyFont="1" applyFill="1" applyBorder="1" applyAlignment="1">
      <alignment vertical="center"/>
    </xf>
    <xf numFmtId="0" fontId="27" fillId="8" borderId="5" xfId="0" applyFont="1" applyFill="1" applyBorder="1" applyAlignment="1">
      <alignment vertical="center"/>
    </xf>
    <xf numFmtId="3" fontId="30" fillId="8" borderId="5" xfId="0" applyNumberFormat="1" applyFont="1" applyFill="1" applyBorder="1" applyAlignment="1">
      <alignment vertical="center"/>
    </xf>
    <xf numFmtId="3" fontId="25" fillId="8" borderId="5" xfId="0" applyNumberFormat="1" applyFont="1" applyFill="1" applyBorder="1" applyAlignment="1">
      <alignment vertical="center"/>
    </xf>
    <xf numFmtId="3" fontId="30" fillId="8" borderId="0" xfId="0" applyNumberFormat="1" applyFont="1" applyFill="1" applyAlignment="1">
      <alignment vertical="center"/>
    </xf>
    <xf numFmtId="0" fontId="25" fillId="2" borderId="5" xfId="0" applyFont="1" applyFill="1" applyBorder="1" applyAlignment="1">
      <alignment horizontal="center" vertical="center"/>
    </xf>
    <xf numFmtId="0" fontId="25" fillId="2" borderId="5" xfId="0" applyFont="1" applyFill="1" applyBorder="1" applyAlignment="1">
      <alignment vertical="center"/>
    </xf>
    <xf numFmtId="0" fontId="27" fillId="2" borderId="5" xfId="0" applyFont="1" applyFill="1" applyBorder="1" applyAlignment="1">
      <alignment vertical="center"/>
    </xf>
    <xf numFmtId="3" fontId="30" fillId="2" borderId="5" xfId="0" applyNumberFormat="1" applyFont="1" applyFill="1" applyBorder="1" applyAlignment="1">
      <alignment vertical="center"/>
    </xf>
    <xf numFmtId="3" fontId="25" fillId="2" borderId="5" xfId="0" applyNumberFormat="1" applyFont="1" applyFill="1" applyBorder="1" applyAlignment="1">
      <alignment vertical="center"/>
    </xf>
    <xf numFmtId="3" fontId="30" fillId="2" borderId="0" xfId="0" applyNumberFormat="1" applyFont="1" applyFill="1" applyAlignment="1">
      <alignment vertical="center"/>
    </xf>
    <xf numFmtId="0" fontId="25" fillId="15" borderId="5" xfId="0" applyFont="1" applyFill="1" applyBorder="1" applyAlignment="1">
      <alignment horizontal="center" vertical="center"/>
    </xf>
    <xf numFmtId="0" fontId="25" fillId="15" borderId="5" xfId="0" applyFont="1" applyFill="1" applyBorder="1" applyAlignment="1">
      <alignment vertical="center"/>
    </xf>
    <xf numFmtId="0" fontId="27" fillId="15" borderId="5" xfId="0" applyFont="1" applyFill="1" applyBorder="1" applyAlignment="1">
      <alignment vertical="center"/>
    </xf>
    <xf numFmtId="3" fontId="30" fillId="15" borderId="5" xfId="0" applyNumberFormat="1" applyFont="1" applyFill="1" applyBorder="1" applyAlignment="1">
      <alignment vertical="center"/>
    </xf>
    <xf numFmtId="3" fontId="25" fillId="15" borderId="5" xfId="0" applyNumberFormat="1" applyFont="1" applyFill="1" applyBorder="1" applyAlignment="1">
      <alignment vertical="center"/>
    </xf>
    <xf numFmtId="3" fontId="30" fillId="15" borderId="0" xfId="0" applyNumberFormat="1" applyFont="1" applyFill="1" applyAlignment="1">
      <alignment vertical="center"/>
    </xf>
    <xf numFmtId="0" fontId="25" fillId="16" borderId="5" xfId="0" applyFont="1" applyFill="1" applyBorder="1" applyAlignment="1">
      <alignment horizontal="center" vertical="center"/>
    </xf>
    <xf numFmtId="0" fontId="25" fillId="16" borderId="5" xfId="0" applyFont="1" applyFill="1" applyBorder="1" applyAlignment="1">
      <alignment vertical="center"/>
    </xf>
    <xf numFmtId="0" fontId="27" fillId="16" borderId="5" xfId="0" applyFont="1" applyFill="1" applyBorder="1" applyAlignment="1">
      <alignment vertical="center"/>
    </xf>
    <xf numFmtId="3" fontId="30" fillId="16" borderId="5" xfId="0" applyNumberFormat="1" applyFont="1" applyFill="1" applyBorder="1" applyAlignment="1">
      <alignment vertical="center"/>
    </xf>
    <xf numFmtId="3" fontId="25" fillId="16" borderId="5" xfId="0" applyNumberFormat="1" applyFont="1" applyFill="1" applyBorder="1" applyAlignment="1">
      <alignment vertical="center"/>
    </xf>
    <xf numFmtId="3" fontId="30" fillId="16" borderId="0" xfId="0" applyNumberFormat="1" applyFont="1" applyFill="1" applyAlignment="1">
      <alignment vertical="center"/>
    </xf>
    <xf numFmtId="0" fontId="11" fillId="0" borderId="0" xfId="0" applyFont="1" applyAlignment="1">
      <alignment horizontal="center" vertical="center" wrapText="1"/>
    </xf>
    <xf numFmtId="3" fontId="25" fillId="0" borderId="5" xfId="0" applyNumberFormat="1" applyFont="1" applyBorder="1" applyAlignment="1">
      <alignment horizontal="center" vertical="center" wrapText="1"/>
    </xf>
    <xf numFmtId="0" fontId="28" fillId="10" borderId="5" xfId="0" applyFont="1" applyFill="1" applyBorder="1" applyAlignment="1">
      <alignment vertical="center" wrapText="1"/>
    </xf>
    <xf numFmtId="3" fontId="25" fillId="0" borderId="0" xfId="0" applyNumberFormat="1" applyFont="1" applyAlignment="1">
      <alignment horizontal="center" vertical="center" wrapText="1"/>
    </xf>
    <xf numFmtId="3" fontId="25" fillId="10" borderId="30" xfId="0" applyNumberFormat="1" applyFont="1" applyFill="1" applyBorder="1" applyAlignment="1">
      <alignment horizontal="right" vertical="center"/>
    </xf>
    <xf numFmtId="3" fontId="25" fillId="13" borderId="30" xfId="0" applyNumberFormat="1" applyFont="1" applyFill="1" applyBorder="1" applyAlignment="1">
      <alignment vertical="center"/>
    </xf>
    <xf numFmtId="3" fontId="25" fillId="14" borderId="30" xfId="0" applyNumberFormat="1" applyFont="1" applyFill="1" applyBorder="1" applyAlignment="1">
      <alignment vertical="center"/>
    </xf>
    <xf numFmtId="3" fontId="25" fillId="8" borderId="30" xfId="0" applyNumberFormat="1" applyFont="1" applyFill="1" applyBorder="1" applyAlignment="1">
      <alignment vertical="center"/>
    </xf>
    <xf numFmtId="3" fontId="25" fillId="10" borderId="30" xfId="1" applyNumberFormat="1" applyFont="1" applyFill="1" applyBorder="1" applyAlignment="1">
      <alignment horizontal="right" vertical="center"/>
    </xf>
    <xf numFmtId="3" fontId="25" fillId="2" borderId="30" xfId="0" applyNumberFormat="1" applyFont="1" applyFill="1" applyBorder="1" applyAlignment="1">
      <alignment vertical="center"/>
    </xf>
    <xf numFmtId="3" fontId="25" fillId="15" borderId="30" xfId="0" applyNumberFormat="1" applyFont="1" applyFill="1" applyBorder="1" applyAlignment="1">
      <alignment vertical="center"/>
    </xf>
    <xf numFmtId="3" fontId="25" fillId="16" borderId="30" xfId="0" applyNumberFormat="1" applyFont="1" applyFill="1" applyBorder="1" applyAlignment="1">
      <alignment vertical="center"/>
    </xf>
    <xf numFmtId="3" fontId="25" fillId="0" borderId="5" xfId="0" applyNumberFormat="1" applyFont="1" applyBorder="1" applyAlignment="1">
      <alignment horizontal="left" vertical="center"/>
    </xf>
    <xf numFmtId="3" fontId="30" fillId="0" borderId="5" xfId="0" applyNumberFormat="1" applyFont="1" applyBorder="1"/>
    <xf numFmtId="4" fontId="25" fillId="13" borderId="30" xfId="0" applyNumberFormat="1" applyFont="1" applyFill="1" applyBorder="1" applyAlignment="1">
      <alignment vertical="center"/>
    </xf>
    <xf numFmtId="4" fontId="25" fillId="14" borderId="30" xfId="0" applyNumberFormat="1" applyFont="1" applyFill="1" applyBorder="1" applyAlignment="1">
      <alignment vertical="center"/>
    </xf>
    <xf numFmtId="4" fontId="25" fillId="8" borderId="30" xfId="0" applyNumberFormat="1" applyFont="1" applyFill="1" applyBorder="1" applyAlignment="1">
      <alignment vertical="center"/>
    </xf>
    <xf numFmtId="4" fontId="30" fillId="0" borderId="0" xfId="0" applyNumberFormat="1" applyFont="1" applyAlignment="1">
      <alignment vertical="center"/>
    </xf>
    <xf numFmtId="4" fontId="25" fillId="10" borderId="30" xfId="1" applyNumberFormat="1" applyFont="1" applyFill="1" applyBorder="1" applyAlignment="1">
      <alignment horizontal="right" vertical="center"/>
    </xf>
    <xf numFmtId="4" fontId="25" fillId="2" borderId="30" xfId="0" applyNumberFormat="1" applyFont="1" applyFill="1" applyBorder="1" applyAlignment="1">
      <alignment vertical="center"/>
    </xf>
    <xf numFmtId="4" fontId="25" fillId="15" borderId="30" xfId="0" applyNumberFormat="1" applyFont="1" applyFill="1" applyBorder="1" applyAlignment="1">
      <alignment vertical="center"/>
    </xf>
    <xf numFmtId="4" fontId="25" fillId="16" borderId="30" xfId="0" applyNumberFormat="1" applyFont="1" applyFill="1" applyBorder="1" applyAlignment="1">
      <alignment vertical="center"/>
    </xf>
    <xf numFmtId="4" fontId="25" fillId="0" borderId="5" xfId="0" applyNumberFormat="1" applyFont="1" applyBorder="1" applyAlignment="1">
      <alignment vertical="center"/>
    </xf>
    <xf numFmtId="3" fontId="24" fillId="0" borderId="30" xfId="0" applyNumberFormat="1" applyFont="1" applyBorder="1" applyAlignment="1">
      <alignment horizontal="right" vertical="center"/>
    </xf>
    <xf numFmtId="3" fontId="8" fillId="0" borderId="30" xfId="0" applyNumberFormat="1" applyFont="1" applyBorder="1" applyAlignment="1">
      <alignment vertical="center"/>
    </xf>
    <xf numFmtId="4" fontId="26" fillId="0" borderId="0" xfId="0" applyNumberFormat="1" applyFont="1"/>
    <xf numFmtId="4" fontId="25" fillId="0" borderId="5" xfId="0" applyNumberFormat="1" applyFont="1" applyBorder="1" applyAlignment="1">
      <alignment horizontal="center" vertical="center" textRotation="90" wrapText="1"/>
    </xf>
    <xf numFmtId="4" fontId="28" fillId="0" borderId="30" xfId="1" applyNumberFormat="1" applyFont="1" applyBorder="1" applyAlignment="1">
      <alignment horizontal="right" vertical="center"/>
    </xf>
    <xf numFmtId="4" fontId="24" fillId="0" borderId="30" xfId="0" applyNumberFormat="1" applyFont="1" applyBorder="1" applyAlignment="1">
      <alignment horizontal="right" vertical="center"/>
    </xf>
    <xf numFmtId="4" fontId="8" fillId="0" borderId="30" xfId="0" applyNumberFormat="1" applyFont="1" applyBorder="1" applyAlignment="1">
      <alignment vertical="center"/>
    </xf>
    <xf numFmtId="4" fontId="24" fillId="0" borderId="0" xfId="0" applyNumberFormat="1" applyFont="1" applyAlignment="1">
      <alignment vertical="center"/>
    </xf>
    <xf numFmtId="4" fontId="8" fillId="0" borderId="0" xfId="0" applyNumberFormat="1" applyFont="1" applyAlignment="1">
      <alignment vertical="center"/>
    </xf>
    <xf numFmtId="4" fontId="8" fillId="0" borderId="24" xfId="0" applyNumberFormat="1" applyFont="1" applyBorder="1" applyAlignment="1">
      <alignment horizontal="right" vertical="center"/>
    </xf>
    <xf numFmtId="4" fontId="8" fillId="0" borderId="7" xfId="0" applyNumberFormat="1" applyFont="1" applyBorder="1" applyAlignment="1">
      <alignment horizontal="right" vertical="center"/>
    </xf>
    <xf numFmtId="4" fontId="25" fillId="0" borderId="30" xfId="1" applyNumberFormat="1" applyFont="1" applyBorder="1" applyAlignment="1">
      <alignment horizontal="right" vertical="center"/>
    </xf>
    <xf numFmtId="4" fontId="8" fillId="0" borderId="53" xfId="0" applyNumberFormat="1" applyFont="1" applyBorder="1" applyAlignment="1">
      <alignment vertical="center"/>
    </xf>
    <xf numFmtId="4" fontId="25" fillId="0" borderId="30" xfId="0" applyNumberFormat="1" applyFont="1" applyBorder="1" applyAlignment="1">
      <alignment horizontal="center" vertical="center" textRotation="90" wrapText="1"/>
    </xf>
    <xf numFmtId="4" fontId="24" fillId="0" borderId="0" xfId="0" applyNumberFormat="1" applyFont="1" applyAlignment="1">
      <alignment horizontal="right" vertical="center"/>
    </xf>
    <xf numFmtId="4" fontId="24" fillId="11" borderId="30" xfId="0" applyNumberFormat="1" applyFont="1" applyFill="1" applyBorder="1" applyAlignment="1">
      <alignment horizontal="right" vertical="center"/>
    </xf>
    <xf numFmtId="3" fontId="51" fillId="10" borderId="0" xfId="0" applyNumberFormat="1" applyFont="1" applyFill="1" applyAlignment="1">
      <alignment horizontal="right" vertical="center"/>
    </xf>
    <xf numFmtId="3" fontId="51" fillId="13" borderId="0" xfId="0" applyNumberFormat="1" applyFont="1" applyFill="1" applyAlignment="1">
      <alignment horizontal="right" vertical="center"/>
    </xf>
    <xf numFmtId="3" fontId="51" fillId="14" borderId="0" xfId="0" applyNumberFormat="1" applyFont="1" applyFill="1" applyAlignment="1">
      <alignment horizontal="right" vertical="center"/>
    </xf>
    <xf numFmtId="3" fontId="51" fillId="0" borderId="0" xfId="0" applyNumberFormat="1" applyFont="1" applyAlignment="1">
      <alignment horizontal="right" vertical="center"/>
    </xf>
    <xf numFmtId="3" fontId="51" fillId="0" borderId="0" xfId="0" applyNumberFormat="1" applyFont="1" applyAlignment="1">
      <alignment horizontal="right" vertical="center" wrapText="1"/>
    </xf>
    <xf numFmtId="3" fontId="51" fillId="8" borderId="0" xfId="0" applyNumberFormat="1" applyFont="1" applyFill="1" applyAlignment="1">
      <alignment horizontal="right" vertical="center"/>
    </xf>
    <xf numFmtId="3" fontId="51" fillId="0" borderId="0" xfId="0" applyNumberFormat="1" applyFont="1" applyAlignment="1">
      <alignment horizontal="right"/>
    </xf>
    <xf numFmtId="3" fontId="51" fillId="2" borderId="0" xfId="0" applyNumberFormat="1" applyFont="1" applyFill="1" applyAlignment="1">
      <alignment horizontal="right" vertical="center"/>
    </xf>
    <xf numFmtId="3" fontId="51" fillId="15" borderId="0" xfId="0" applyNumberFormat="1" applyFont="1" applyFill="1" applyAlignment="1">
      <alignment horizontal="right" vertical="center"/>
    </xf>
    <xf numFmtId="3" fontId="51" fillId="16" borderId="0" xfId="0" applyNumberFormat="1" applyFont="1" applyFill="1" applyAlignment="1">
      <alignment horizontal="right" vertical="center"/>
    </xf>
    <xf numFmtId="3" fontId="8" fillId="0" borderId="0" xfId="0" applyNumberFormat="1" applyFont="1" applyAlignment="1">
      <alignment horizontal="right" vertical="center"/>
    </xf>
    <xf numFmtId="4" fontId="24" fillId="10" borderId="30" xfId="1" applyNumberFormat="1" applyFont="1" applyFill="1" applyBorder="1" applyAlignment="1">
      <alignment horizontal="right" vertical="center"/>
    </xf>
    <xf numFmtId="4" fontId="24" fillId="13" borderId="30" xfId="0" applyNumberFormat="1" applyFont="1" applyFill="1" applyBorder="1" applyAlignment="1">
      <alignment vertical="center"/>
    </xf>
    <xf numFmtId="4" fontId="24" fillId="14" borderId="30" xfId="0" applyNumberFormat="1" applyFont="1" applyFill="1" applyBorder="1" applyAlignment="1">
      <alignment vertical="center"/>
    </xf>
    <xf numFmtId="4" fontId="24" fillId="8" borderId="30" xfId="0" applyNumberFormat="1" applyFont="1" applyFill="1" applyBorder="1" applyAlignment="1">
      <alignment vertical="center"/>
    </xf>
    <xf numFmtId="4" fontId="24" fillId="2" borderId="30" xfId="0" applyNumberFormat="1" applyFont="1" applyFill="1" applyBorder="1" applyAlignment="1">
      <alignment vertical="center"/>
    </xf>
    <xf numFmtId="4" fontId="24" fillId="15" borderId="30" xfId="0" applyNumberFormat="1" applyFont="1" applyFill="1" applyBorder="1" applyAlignment="1">
      <alignment vertical="center"/>
    </xf>
    <xf numFmtId="4" fontId="24" fillId="16" borderId="30" xfId="0" applyNumberFormat="1" applyFont="1" applyFill="1" applyBorder="1" applyAlignment="1">
      <alignment vertical="center"/>
    </xf>
    <xf numFmtId="4" fontId="24" fillId="0" borderId="5" xfId="0" applyNumberFormat="1" applyFont="1" applyBorder="1" applyAlignment="1">
      <alignment vertical="center"/>
    </xf>
    <xf numFmtId="4" fontId="33" fillId="0" borderId="0" xfId="0" applyNumberFormat="1" applyFont="1" applyAlignment="1">
      <alignment vertical="center" wrapText="1"/>
    </xf>
    <xf numFmtId="4" fontId="33" fillId="0" borderId="0" xfId="0" applyNumberFormat="1" applyFont="1" applyAlignment="1">
      <alignment horizontal="center" vertical="center" wrapText="1"/>
    </xf>
    <xf numFmtId="4" fontId="30" fillId="13" borderId="0" xfId="0" applyNumberFormat="1" applyFont="1" applyFill="1" applyAlignment="1">
      <alignment vertical="center"/>
    </xf>
    <xf numFmtId="4" fontId="30" fillId="8" borderId="0" xfId="0" applyNumberFormat="1" applyFont="1" applyFill="1" applyAlignment="1">
      <alignment vertical="center"/>
    </xf>
    <xf numFmtId="4" fontId="24" fillId="0" borderId="0" xfId="0" applyNumberFormat="1" applyFont="1"/>
    <xf numFmtId="4" fontId="24" fillId="0" borderId="0" xfId="0" applyNumberFormat="1" applyFont="1" applyAlignment="1">
      <alignment horizontal="left"/>
    </xf>
    <xf numFmtId="4" fontId="30" fillId="2" borderId="0" xfId="0" applyNumberFormat="1" applyFont="1" applyFill="1" applyAlignment="1">
      <alignment vertical="center"/>
    </xf>
    <xf numFmtId="3" fontId="30" fillId="0" borderId="5" xfId="0" applyNumberFormat="1" applyFont="1" applyBorder="1" applyAlignment="1">
      <alignment horizontal="center" vertical="center" textRotation="90" wrapText="1"/>
    </xf>
    <xf numFmtId="3" fontId="8" fillId="13" borderId="5" xfId="0" applyNumberFormat="1" applyFont="1" applyFill="1" applyBorder="1" applyAlignment="1">
      <alignment horizontal="right" vertical="center"/>
    </xf>
    <xf numFmtId="3" fontId="30" fillId="0" borderId="30" xfId="1" applyNumberFormat="1" applyFont="1" applyBorder="1" applyAlignment="1">
      <alignment horizontal="right" vertical="center"/>
    </xf>
    <xf numFmtId="3" fontId="8" fillId="14" borderId="5" xfId="0" applyNumberFormat="1" applyFont="1" applyFill="1" applyBorder="1" applyAlignment="1">
      <alignment horizontal="right" vertical="center"/>
    </xf>
    <xf numFmtId="3" fontId="24" fillId="0" borderId="5" xfId="0" applyNumberFormat="1" applyFont="1" applyBorder="1" applyAlignment="1">
      <alignment horizontal="center" vertical="center" wrapText="1"/>
    </xf>
    <xf numFmtId="3" fontId="24" fillId="10" borderId="30" xfId="1" applyNumberFormat="1" applyFont="1" applyFill="1" applyBorder="1" applyAlignment="1">
      <alignment horizontal="right" vertical="center"/>
    </xf>
    <xf numFmtId="3" fontId="24" fillId="13" borderId="30" xfId="0" applyNumberFormat="1" applyFont="1" applyFill="1" applyBorder="1" applyAlignment="1">
      <alignment vertical="center"/>
    </xf>
    <xf numFmtId="3" fontId="24" fillId="14" borderId="30" xfId="0" applyNumberFormat="1" applyFont="1" applyFill="1" applyBorder="1" applyAlignment="1">
      <alignment vertical="center"/>
    </xf>
    <xf numFmtId="3" fontId="24" fillId="8" borderId="30" xfId="0" applyNumberFormat="1" applyFont="1" applyFill="1" applyBorder="1" applyAlignment="1">
      <alignment vertical="center"/>
    </xf>
    <xf numFmtId="3" fontId="24" fillId="2" borderId="30" xfId="0" applyNumberFormat="1" applyFont="1" applyFill="1" applyBorder="1" applyAlignment="1">
      <alignment vertical="center"/>
    </xf>
    <xf numFmtId="3" fontId="24" fillId="15" borderId="30" xfId="0" applyNumberFormat="1" applyFont="1" applyFill="1" applyBorder="1" applyAlignment="1">
      <alignment vertical="center"/>
    </xf>
    <xf numFmtId="3" fontId="24" fillId="16" borderId="30" xfId="0" applyNumberFormat="1" applyFont="1" applyFill="1" applyBorder="1" applyAlignment="1">
      <alignment vertical="center"/>
    </xf>
    <xf numFmtId="3" fontId="36" fillId="0" borderId="5" xfId="0" applyNumberFormat="1" applyFont="1" applyBorder="1" applyAlignment="1">
      <alignment horizontal="right" vertical="center"/>
    </xf>
    <xf numFmtId="3" fontId="36" fillId="10" borderId="30" xfId="0" applyNumberFormat="1" applyFont="1" applyFill="1" applyBorder="1" applyAlignment="1">
      <alignment horizontal="right" vertical="center"/>
    </xf>
    <xf numFmtId="3" fontId="36" fillId="13" borderId="30" xfId="0" applyNumberFormat="1" applyFont="1" applyFill="1" applyBorder="1" applyAlignment="1">
      <alignment vertical="center"/>
    </xf>
    <xf numFmtId="3" fontId="36" fillId="14" borderId="30" xfId="0" applyNumberFormat="1" applyFont="1" applyFill="1" applyBorder="1" applyAlignment="1">
      <alignment vertical="center"/>
    </xf>
    <xf numFmtId="3" fontId="36" fillId="8" borderId="30" xfId="0" applyNumberFormat="1" applyFont="1" applyFill="1" applyBorder="1" applyAlignment="1">
      <alignment vertical="center"/>
    </xf>
    <xf numFmtId="3" fontId="36" fillId="10" borderId="30" xfId="1" applyNumberFormat="1" applyFont="1" applyFill="1" applyBorder="1" applyAlignment="1">
      <alignment horizontal="right" vertical="center"/>
    </xf>
    <xf numFmtId="3" fontId="36" fillId="2" borderId="30" xfId="0" applyNumberFormat="1" applyFont="1" applyFill="1" applyBorder="1" applyAlignment="1">
      <alignment vertical="center"/>
    </xf>
    <xf numFmtId="3" fontId="36" fillId="15" borderId="30" xfId="0" applyNumberFormat="1" applyFont="1" applyFill="1" applyBorder="1" applyAlignment="1">
      <alignment vertical="center"/>
    </xf>
    <xf numFmtId="3" fontId="36" fillId="16" borderId="30" xfId="0" applyNumberFormat="1" applyFont="1" applyFill="1" applyBorder="1" applyAlignment="1">
      <alignment vertical="center"/>
    </xf>
    <xf numFmtId="3" fontId="8" fillId="0" borderId="0" xfId="0" applyNumberFormat="1" applyFont="1" applyAlignment="1">
      <alignment vertical="center" wrapText="1"/>
    </xf>
    <xf numFmtId="3" fontId="24" fillId="10" borderId="30" xfId="0" applyNumberFormat="1" applyFont="1" applyFill="1" applyBorder="1" applyAlignment="1">
      <alignment horizontal="right" vertical="center"/>
    </xf>
    <xf numFmtId="3" fontId="24" fillId="0" borderId="0" xfId="0" applyNumberFormat="1" applyFont="1" applyAlignment="1">
      <alignment horizontal="left" vertical="center"/>
    </xf>
    <xf numFmtId="3" fontId="24" fillId="0" borderId="26" xfId="0" applyNumberFormat="1" applyFont="1" applyBorder="1" applyAlignment="1">
      <alignment horizontal="right" vertical="center"/>
    </xf>
    <xf numFmtId="3" fontId="24" fillId="0" borderId="35" xfId="0" applyNumberFormat="1" applyFont="1" applyBorder="1" applyAlignment="1">
      <alignment horizontal="right" vertical="center"/>
    </xf>
    <xf numFmtId="3" fontId="24" fillId="0" borderId="30" xfId="0" applyNumberFormat="1" applyFont="1" applyBorder="1" applyAlignment="1">
      <alignment horizontal="center" vertical="center" wrapText="1"/>
    </xf>
    <xf numFmtId="3" fontId="24" fillId="0" borderId="5" xfId="0" applyNumberFormat="1" applyFont="1" applyBorder="1" applyAlignment="1">
      <alignment horizontal="left" vertical="center"/>
    </xf>
    <xf numFmtId="0" fontId="24" fillId="0" borderId="0" xfId="0" applyFont="1" applyAlignment="1">
      <alignment horizontal="center" vertical="center" wrapText="1"/>
    </xf>
    <xf numFmtId="3" fontId="24" fillId="0" borderId="0" xfId="0" applyNumberFormat="1" applyFont="1" applyAlignment="1">
      <alignment horizontal="center" vertical="center" wrapText="1"/>
    </xf>
    <xf numFmtId="3" fontId="24" fillId="0" borderId="5" xfId="0" applyNumberFormat="1" applyFont="1" applyBorder="1"/>
    <xf numFmtId="49" fontId="33" fillId="0" borderId="0" xfId="0" applyNumberFormat="1" applyFont="1" applyAlignment="1">
      <alignment horizontal="center" vertical="center" wrapText="1"/>
    </xf>
    <xf numFmtId="49" fontId="51" fillId="0" borderId="0" xfId="0" applyNumberFormat="1" applyFont="1" applyAlignment="1">
      <alignment horizontal="right" vertical="center" wrapText="1"/>
    </xf>
    <xf numFmtId="49" fontId="8" fillId="0" borderId="0" xfId="0" applyNumberFormat="1" applyFont="1" applyAlignment="1">
      <alignment vertical="center" wrapText="1"/>
    </xf>
    <xf numFmtId="49" fontId="8" fillId="0" borderId="5" xfId="0" applyNumberFormat="1" applyFont="1" applyBorder="1" applyAlignment="1">
      <alignment horizontal="center" vertical="center" textRotation="90" wrapText="1"/>
    </xf>
    <xf numFmtId="49" fontId="28" fillId="0" borderId="5" xfId="0" applyNumberFormat="1" applyFont="1" applyBorder="1" applyAlignment="1">
      <alignment horizontal="center" vertical="center" textRotation="90" wrapText="1"/>
    </xf>
    <xf numFmtId="49" fontId="30" fillId="0" borderId="5" xfId="0" applyNumberFormat="1" applyFont="1" applyBorder="1" applyAlignment="1">
      <alignment horizontal="center" vertical="center" textRotation="90" wrapText="1"/>
    </xf>
    <xf numFmtId="4" fontId="24" fillId="0" borderId="5" xfId="0" applyNumberFormat="1" applyFont="1" applyBorder="1" applyAlignment="1">
      <alignment horizontal="center" vertical="center" wrapText="1"/>
    </xf>
    <xf numFmtId="4" fontId="24" fillId="10" borderId="30" xfId="0" applyNumberFormat="1" applyFont="1" applyFill="1" applyBorder="1" applyAlignment="1">
      <alignment horizontal="right" vertical="center"/>
    </xf>
    <xf numFmtId="4" fontId="24" fillId="0" borderId="0" xfId="0" applyNumberFormat="1" applyFont="1" applyAlignment="1">
      <alignment horizontal="left" vertical="center"/>
    </xf>
    <xf numFmtId="4" fontId="24" fillId="0" borderId="26" xfId="0" applyNumberFormat="1" applyFont="1" applyBorder="1" applyAlignment="1">
      <alignment horizontal="right" vertical="center"/>
    </xf>
    <xf numFmtId="4" fontId="24" fillId="0" borderId="35" xfId="0" applyNumberFormat="1" applyFont="1" applyBorder="1" applyAlignment="1">
      <alignment horizontal="right" vertical="center"/>
    </xf>
    <xf numFmtId="4" fontId="24" fillId="0" borderId="30" xfId="0" applyNumberFormat="1" applyFont="1" applyBorder="1" applyAlignment="1">
      <alignment horizontal="center" vertical="center" wrapText="1"/>
    </xf>
    <xf numFmtId="1" fontId="50" fillId="0" borderId="5" xfId="0" applyNumberFormat="1" applyFont="1" applyBorder="1" applyAlignment="1">
      <alignment horizontal="center" vertical="center" wrapText="1"/>
    </xf>
    <xf numFmtId="1" fontId="50" fillId="0" borderId="0" xfId="0" applyNumberFormat="1" applyFont="1" applyAlignment="1">
      <alignment horizontal="center" vertical="center" wrapText="1"/>
    </xf>
    <xf numFmtId="1" fontId="52" fillId="0" borderId="0" xfId="0" applyNumberFormat="1" applyFont="1" applyAlignment="1">
      <alignment horizontal="center" vertical="center" wrapText="1"/>
    </xf>
    <xf numFmtId="1" fontId="53" fillId="0" borderId="0" xfId="0" applyNumberFormat="1" applyFont="1" applyAlignment="1">
      <alignment horizontal="right" vertical="center" wrapText="1"/>
    </xf>
    <xf numFmtId="1" fontId="50" fillId="0" borderId="0" xfId="0" applyNumberFormat="1" applyFont="1" applyAlignment="1">
      <alignment vertical="center" wrapText="1"/>
    </xf>
    <xf numFmtId="169" fontId="24" fillId="17" borderId="0" xfId="0" applyNumberFormat="1" applyFont="1" applyFill="1"/>
    <xf numFmtId="1" fontId="50" fillId="17" borderId="5" xfId="0" applyNumberFormat="1" applyFont="1" applyFill="1" applyBorder="1" applyAlignment="1">
      <alignment horizontal="center" vertical="center" wrapText="1"/>
    </xf>
    <xf numFmtId="3" fontId="24" fillId="17" borderId="5" xfId="0" applyNumberFormat="1" applyFont="1" applyFill="1" applyBorder="1" applyAlignment="1">
      <alignment horizontal="center" vertical="center" textRotation="90" wrapText="1"/>
    </xf>
    <xf numFmtId="3" fontId="24" fillId="17" borderId="30" xfId="1" applyNumberFormat="1" applyFont="1" applyFill="1" applyBorder="1" applyAlignment="1">
      <alignment horizontal="right" vertical="center"/>
    </xf>
    <xf numFmtId="3" fontId="24" fillId="17" borderId="30" xfId="0" applyNumberFormat="1" applyFont="1" applyFill="1" applyBorder="1" applyAlignment="1">
      <alignment horizontal="right" vertical="center"/>
    </xf>
    <xf numFmtId="3" fontId="30" fillId="17" borderId="5" xfId="1" applyNumberFormat="1" applyFont="1" applyFill="1" applyBorder="1" applyAlignment="1">
      <alignment horizontal="right" vertical="center"/>
    </xf>
    <xf numFmtId="3" fontId="24" fillId="17" borderId="30" xfId="0" applyNumberFormat="1" applyFont="1" applyFill="1" applyBorder="1" applyAlignment="1">
      <alignment vertical="center"/>
    </xf>
    <xf numFmtId="3" fontId="30" fillId="17" borderId="5" xfId="0" applyNumberFormat="1" applyFont="1" applyFill="1" applyBorder="1" applyAlignment="1">
      <alignment vertical="center"/>
    </xf>
    <xf numFmtId="3" fontId="24" fillId="17" borderId="0" xfId="0" applyNumberFormat="1" applyFont="1" applyFill="1" applyAlignment="1">
      <alignment vertical="center"/>
    </xf>
    <xf numFmtId="3" fontId="24" fillId="17" borderId="24" xfId="0" applyNumberFormat="1" applyFont="1" applyFill="1" applyBorder="1" applyAlignment="1">
      <alignment horizontal="right" vertical="center"/>
    </xf>
    <xf numFmtId="3" fontId="24" fillId="17" borderId="7" xfId="0" applyNumberFormat="1" applyFont="1" applyFill="1" applyBorder="1" applyAlignment="1">
      <alignment horizontal="right" vertical="center"/>
    </xf>
    <xf numFmtId="3" fontId="24" fillId="17" borderId="53" xfId="0" applyNumberFormat="1" applyFont="1" applyFill="1" applyBorder="1" applyAlignment="1">
      <alignment vertical="center"/>
    </xf>
    <xf numFmtId="3" fontId="24" fillId="17" borderId="0" xfId="0" applyNumberFormat="1" applyFont="1" applyFill="1"/>
    <xf numFmtId="3" fontId="24" fillId="17" borderId="30" xfId="0" applyNumberFormat="1" applyFont="1" applyFill="1" applyBorder="1" applyAlignment="1">
      <alignment horizontal="center" vertical="center" textRotation="90" wrapText="1"/>
    </xf>
    <xf numFmtId="3" fontId="24" fillId="17" borderId="0" xfId="0" applyNumberFormat="1" applyFont="1" applyFill="1" applyAlignment="1">
      <alignment horizontal="right" vertical="center"/>
    </xf>
    <xf numFmtId="3" fontId="24" fillId="17" borderId="5" xfId="0" applyNumberFormat="1" applyFont="1" applyFill="1" applyBorder="1" applyAlignment="1">
      <alignment horizontal="right" vertical="center"/>
    </xf>
    <xf numFmtId="3" fontId="8" fillId="17" borderId="0" xfId="0" applyNumberFormat="1" applyFont="1" applyFill="1"/>
    <xf numFmtId="4" fontId="26" fillId="17" borderId="0" xfId="0" applyNumberFormat="1" applyFont="1" applyFill="1"/>
    <xf numFmtId="4" fontId="24" fillId="17" borderId="5" xfId="0" applyNumberFormat="1" applyFont="1" applyFill="1" applyBorder="1" applyAlignment="1">
      <alignment horizontal="center" vertical="center" textRotation="90" wrapText="1"/>
    </xf>
    <xf numFmtId="4" fontId="28" fillId="17" borderId="30" xfId="1" applyNumberFormat="1" applyFont="1" applyFill="1" applyBorder="1" applyAlignment="1">
      <alignment horizontal="right" vertical="center"/>
    </xf>
    <xf numFmtId="4" fontId="24" fillId="17" borderId="30" xfId="0" applyNumberFormat="1" applyFont="1" applyFill="1" applyBorder="1" applyAlignment="1">
      <alignment horizontal="right" vertical="center"/>
    </xf>
    <xf numFmtId="4" fontId="24" fillId="17" borderId="30" xfId="1" applyNumberFormat="1" applyFont="1" applyFill="1" applyBorder="1" applyAlignment="1">
      <alignment horizontal="right" vertical="center"/>
    </xf>
    <xf numFmtId="4" fontId="8" fillId="17" borderId="30" xfId="0" applyNumberFormat="1" applyFont="1" applyFill="1" applyBorder="1" applyAlignment="1">
      <alignment vertical="center"/>
    </xf>
    <xf numFmtId="4" fontId="24" fillId="17" borderId="30" xfId="0" applyNumberFormat="1" applyFont="1" applyFill="1" applyBorder="1" applyAlignment="1">
      <alignment vertical="center"/>
    </xf>
    <xf numFmtId="4" fontId="24" fillId="17" borderId="0" xfId="0" applyNumberFormat="1" applyFont="1" applyFill="1" applyAlignment="1">
      <alignment vertical="center"/>
    </xf>
    <xf numFmtId="4" fontId="8" fillId="17" borderId="0" xfId="0" applyNumberFormat="1" applyFont="1" applyFill="1" applyAlignment="1">
      <alignment vertical="center"/>
    </xf>
    <xf numFmtId="4" fontId="8" fillId="17" borderId="24" xfId="0" applyNumberFormat="1" applyFont="1" applyFill="1" applyBorder="1" applyAlignment="1">
      <alignment horizontal="right" vertical="center"/>
    </xf>
    <xf numFmtId="4" fontId="8" fillId="17" borderId="7" xfId="0" applyNumberFormat="1" applyFont="1" applyFill="1" applyBorder="1" applyAlignment="1">
      <alignment horizontal="right" vertical="center"/>
    </xf>
    <xf numFmtId="4" fontId="8" fillId="17" borderId="53" xfId="0" applyNumberFormat="1" applyFont="1" applyFill="1" applyBorder="1" applyAlignment="1">
      <alignment vertical="center"/>
    </xf>
    <xf numFmtId="4" fontId="8" fillId="17" borderId="0" xfId="0" applyNumberFormat="1" applyFont="1" applyFill="1"/>
    <xf numFmtId="4" fontId="24" fillId="17" borderId="30" xfId="0" applyNumberFormat="1" applyFont="1" applyFill="1" applyBorder="1" applyAlignment="1">
      <alignment horizontal="center" vertical="center" textRotation="90" wrapText="1"/>
    </xf>
    <xf numFmtId="4" fontId="24" fillId="17" borderId="0" xfId="0" applyNumberFormat="1" applyFont="1" applyFill="1" applyAlignment="1">
      <alignment horizontal="right" vertical="center"/>
    </xf>
    <xf numFmtId="4" fontId="24" fillId="17" borderId="5" xfId="0" applyNumberFormat="1" applyFont="1" applyFill="1" applyBorder="1" applyAlignment="1">
      <alignment horizontal="right" vertical="center"/>
    </xf>
    <xf numFmtId="4" fontId="24" fillId="17" borderId="5" xfId="0" applyNumberFormat="1" applyFont="1" applyFill="1" applyBorder="1" applyAlignment="1">
      <alignment vertical="center"/>
    </xf>
    <xf numFmtId="4" fontId="50" fillId="0" borderId="0" xfId="0" applyNumberFormat="1" applyFont="1" applyAlignment="1">
      <alignment horizontal="center" vertical="center" wrapText="1"/>
    </xf>
    <xf numFmtId="3" fontId="54" fillId="0" borderId="0" xfId="0" applyNumberFormat="1" applyFont="1"/>
    <xf numFmtId="3" fontId="54" fillId="0" borderId="0" xfId="0" applyNumberFormat="1" applyFont="1" applyAlignment="1">
      <alignment vertical="center" wrapText="1"/>
    </xf>
    <xf numFmtId="3" fontId="54" fillId="0" borderId="0" xfId="0" applyNumberFormat="1" applyFont="1" applyAlignment="1">
      <alignment horizontal="center" vertical="center" wrapText="1"/>
    </xf>
    <xf numFmtId="3" fontId="54" fillId="0" borderId="0" xfId="0" applyNumberFormat="1" applyFont="1" applyAlignment="1">
      <alignment vertical="center"/>
    </xf>
    <xf numFmtId="3" fontId="32" fillId="10" borderId="0" xfId="0" applyNumberFormat="1" applyFont="1" applyFill="1" applyAlignment="1">
      <alignment vertical="center"/>
    </xf>
    <xf numFmtId="3" fontId="32" fillId="13" borderId="0" xfId="0" applyNumberFormat="1" applyFont="1" applyFill="1" applyAlignment="1">
      <alignment vertical="center"/>
    </xf>
    <xf numFmtId="3" fontId="32" fillId="0" borderId="0" xfId="0" applyNumberFormat="1" applyFont="1" applyAlignment="1">
      <alignment vertical="center"/>
    </xf>
    <xf numFmtId="3" fontId="32" fillId="14" borderId="0" xfId="0" applyNumberFormat="1" applyFont="1" applyFill="1" applyAlignment="1">
      <alignment vertical="center"/>
    </xf>
    <xf numFmtId="3" fontId="32" fillId="8" borderId="0" xfId="0" applyNumberFormat="1" applyFont="1" applyFill="1" applyAlignment="1">
      <alignment vertical="center"/>
    </xf>
    <xf numFmtId="3" fontId="54" fillId="0" borderId="0" xfId="0" applyNumberFormat="1" applyFont="1" applyAlignment="1">
      <alignment horizontal="left"/>
    </xf>
    <xf numFmtId="3" fontId="32" fillId="2" borderId="0" xfId="0" applyNumberFormat="1" applyFont="1" applyFill="1" applyAlignment="1">
      <alignment vertical="center"/>
    </xf>
    <xf numFmtId="3" fontId="32" fillId="15" borderId="0" xfId="0" applyNumberFormat="1" applyFont="1" applyFill="1" applyAlignment="1">
      <alignment vertical="center"/>
    </xf>
    <xf numFmtId="4" fontId="23" fillId="10" borderId="0" xfId="0" applyNumberFormat="1" applyFont="1" applyFill="1" applyAlignment="1">
      <alignment vertical="center"/>
    </xf>
    <xf numFmtId="3" fontId="23" fillId="10" borderId="0" xfId="0" applyNumberFormat="1" applyFont="1" applyFill="1" applyAlignment="1">
      <alignment vertical="center"/>
    </xf>
    <xf numFmtId="3" fontId="23" fillId="13" borderId="0" xfId="0" applyNumberFormat="1" applyFont="1" applyFill="1" applyAlignment="1">
      <alignment vertical="center"/>
    </xf>
    <xf numFmtId="4" fontId="24" fillId="8" borderId="0" xfId="0" applyNumberFormat="1" applyFont="1" applyFill="1" applyAlignment="1">
      <alignment vertical="center"/>
    </xf>
    <xf numFmtId="3" fontId="23" fillId="8" borderId="5" xfId="0" applyNumberFormat="1" applyFont="1" applyFill="1" applyBorder="1" applyAlignment="1">
      <alignment vertical="center"/>
    </xf>
    <xf numFmtId="3" fontId="23" fillId="14" borderId="0" xfId="0" applyNumberFormat="1" applyFont="1" applyFill="1" applyAlignment="1">
      <alignment vertical="center"/>
    </xf>
    <xf numFmtId="3" fontId="23" fillId="2" borderId="0" xfId="0" applyNumberFormat="1" applyFont="1" applyFill="1" applyAlignment="1">
      <alignment vertical="center"/>
    </xf>
    <xf numFmtId="4" fontId="23" fillId="13" borderId="0" xfId="0" applyNumberFormat="1" applyFont="1" applyFill="1" applyAlignment="1">
      <alignment vertical="center"/>
    </xf>
    <xf numFmtId="4" fontId="23" fillId="2" borderId="0" xfId="0" applyNumberFormat="1" applyFont="1" applyFill="1" applyAlignment="1">
      <alignment vertical="center"/>
    </xf>
    <xf numFmtId="3" fontId="25" fillId="18" borderId="0" xfId="0" applyNumberFormat="1" applyFont="1" applyFill="1" applyAlignment="1">
      <alignment vertical="center"/>
    </xf>
    <xf numFmtId="3" fontId="23" fillId="15" borderId="0" xfId="0" applyNumberFormat="1" applyFont="1" applyFill="1" applyAlignment="1">
      <alignment vertical="center"/>
    </xf>
    <xf numFmtId="3" fontId="23" fillId="18" borderId="0" xfId="0" applyNumberFormat="1" applyFont="1" applyFill="1" applyAlignment="1">
      <alignment vertical="center"/>
    </xf>
    <xf numFmtId="3" fontId="23" fillId="16" borderId="0" xfId="0" applyNumberFormat="1" applyFont="1" applyFill="1" applyAlignment="1">
      <alignment vertical="center"/>
    </xf>
    <xf numFmtId="3" fontId="25" fillId="18" borderId="30" xfId="0" applyNumberFormat="1" applyFont="1" applyFill="1" applyBorder="1" applyAlignment="1">
      <alignment vertical="center"/>
    </xf>
    <xf numFmtId="3" fontId="25" fillId="18" borderId="5" xfId="0" applyNumberFormat="1" applyFont="1" applyFill="1" applyBorder="1" applyAlignment="1">
      <alignment vertical="center"/>
    </xf>
    <xf numFmtId="0" fontId="24" fillId="0" borderId="5" xfId="0" applyFont="1" applyBorder="1" applyAlignment="1">
      <alignment horizontal="center"/>
    </xf>
    <xf numFmtId="0" fontId="24" fillId="0" borderId="5" xfId="0" applyFont="1" applyBorder="1" applyAlignment="1">
      <alignment wrapText="1"/>
    </xf>
    <xf numFmtId="3" fontId="24" fillId="0" borderId="0" xfId="0" applyNumberFormat="1" applyFont="1" applyAlignment="1">
      <alignment horizontal="center"/>
    </xf>
    <xf numFmtId="2" fontId="24" fillId="0" borderId="5" xfId="1" applyNumberFormat="1" applyFont="1" applyBorder="1" applyAlignment="1">
      <alignment vertical="center" wrapText="1"/>
    </xf>
    <xf numFmtId="49" fontId="24" fillId="0" borderId="0" xfId="0" applyNumberFormat="1" applyFont="1" applyAlignment="1">
      <alignment horizontal="center" vertical="center" wrapText="1"/>
    </xf>
    <xf numFmtId="3" fontId="24" fillId="0" borderId="5" xfId="1" applyNumberFormat="1" applyFont="1" applyBorder="1" applyAlignment="1">
      <alignment horizontal="center" vertical="center"/>
    </xf>
    <xf numFmtId="3" fontId="24" fillId="0" borderId="5" xfId="0" applyNumberFormat="1" applyFont="1" applyBorder="1" applyAlignment="1">
      <alignment horizontal="center" vertical="center"/>
    </xf>
    <xf numFmtId="49" fontId="28" fillId="0" borderId="5" xfId="0" applyNumberFormat="1" applyFont="1" applyBorder="1" applyAlignment="1">
      <alignment horizontal="center" vertical="center" wrapText="1"/>
    </xf>
    <xf numFmtId="0" fontId="55" fillId="0" borderId="0" xfId="0" applyFont="1" applyAlignment="1">
      <alignment vertical="center"/>
    </xf>
    <xf numFmtId="0" fontId="24" fillId="0" borderId="11" xfId="0" applyFont="1" applyBorder="1" applyAlignment="1">
      <alignment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0" xfId="0" applyFont="1" applyAlignment="1">
      <alignment horizontal="center" wrapText="1"/>
    </xf>
    <xf numFmtId="0" fontId="24" fillId="0" borderId="5" xfId="0" applyFont="1" applyBorder="1" applyAlignment="1">
      <alignment horizontal="center" vertical="center" wrapText="1"/>
    </xf>
    <xf numFmtId="0" fontId="55" fillId="0" borderId="5" xfId="0" applyFont="1" applyBorder="1" applyAlignment="1">
      <alignment vertical="center" wrapText="1"/>
    </xf>
    <xf numFmtId="0" fontId="55" fillId="0" borderId="5" xfId="0" applyFont="1" applyBorder="1" applyAlignment="1">
      <alignment horizontal="center" vertical="center" wrapText="1"/>
    </xf>
    <xf numFmtId="0" fontId="55" fillId="0" borderId="5" xfId="0" applyFont="1" applyBorder="1" applyAlignment="1">
      <alignment horizontal="center" vertical="center"/>
    </xf>
    <xf numFmtId="2" fontId="55" fillId="0" borderId="5" xfId="1" applyNumberFormat="1" applyFont="1" applyBorder="1" applyAlignment="1">
      <alignment vertical="center" wrapText="1"/>
    </xf>
    <xf numFmtId="49" fontId="28" fillId="0" borderId="0" xfId="0" applyNumberFormat="1" applyFont="1" applyAlignment="1">
      <alignment horizontal="center" vertical="center" wrapText="1"/>
    </xf>
    <xf numFmtId="49" fontId="25" fillId="0" borderId="5" xfId="0" applyNumberFormat="1" applyFont="1" applyBorder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3" fontId="25" fillId="0" borderId="5" xfId="0" applyNumberFormat="1" applyFont="1" applyBorder="1" applyAlignment="1">
      <alignment horizontal="center" vertical="center"/>
    </xf>
    <xf numFmtId="0" fontId="55" fillId="0" borderId="5" xfId="0" applyFont="1" applyBorder="1" applyAlignment="1">
      <alignment horizontal="left" vertic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wrapText="1"/>
    </xf>
    <xf numFmtId="0" fontId="12" fillId="0" borderId="0" xfId="0" applyFont="1" applyAlignment="1">
      <alignment horizontal="right"/>
    </xf>
    <xf numFmtId="49" fontId="5" fillId="0" borderId="5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2" fontId="5" fillId="0" borderId="5" xfId="0" applyNumberFormat="1" applyFont="1" applyBorder="1" applyAlignment="1">
      <alignment horizontal="center" vertical="center"/>
    </xf>
    <xf numFmtId="171" fontId="5" fillId="0" borderId="5" xfId="0" applyNumberFormat="1" applyFont="1" applyBorder="1" applyAlignment="1">
      <alignment horizontal="center" vertical="center"/>
    </xf>
    <xf numFmtId="4" fontId="5" fillId="0" borderId="5" xfId="0" applyNumberFormat="1" applyFont="1" applyBorder="1" applyAlignment="1">
      <alignment horizontal="center" vertical="center"/>
    </xf>
    <xf numFmtId="4" fontId="4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3" fontId="5" fillId="0" borderId="5" xfId="0" applyNumberFormat="1" applyFont="1" applyBorder="1" applyAlignment="1">
      <alignment vertical="center"/>
    </xf>
    <xf numFmtId="2" fontId="5" fillId="0" borderId="5" xfId="0" applyNumberFormat="1" applyFont="1" applyBorder="1" applyAlignment="1">
      <alignment vertical="center"/>
    </xf>
    <xf numFmtId="171" fontId="5" fillId="0" borderId="5" xfId="0" applyNumberFormat="1" applyFont="1" applyBorder="1" applyAlignment="1">
      <alignment vertical="center"/>
    </xf>
    <xf numFmtId="0" fontId="5" fillId="0" borderId="5" xfId="0" applyFont="1" applyBorder="1"/>
    <xf numFmtId="4" fontId="5" fillId="0" borderId="5" xfId="0" applyNumberFormat="1" applyFont="1" applyBorder="1" applyAlignment="1">
      <alignment vertical="center"/>
    </xf>
    <xf numFmtId="49" fontId="4" fillId="0" borderId="15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2" fontId="5" fillId="19" borderId="5" xfId="0" applyNumberFormat="1" applyFont="1" applyFill="1" applyBorder="1" applyAlignment="1">
      <alignment horizontal="center" vertical="center"/>
    </xf>
    <xf numFmtId="170" fontId="5" fillId="0" borderId="5" xfId="0" applyNumberFormat="1" applyFont="1" applyBorder="1" applyAlignment="1">
      <alignment horizontal="center" vertical="center"/>
    </xf>
    <xf numFmtId="0" fontId="5" fillId="19" borderId="5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center" vertical="top" wrapText="1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horizontal="right" vertical="top"/>
    </xf>
    <xf numFmtId="0" fontId="4" fillId="0" borderId="30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49" fontId="5" fillId="0" borderId="5" xfId="0" applyNumberFormat="1" applyFont="1" applyBorder="1" applyAlignment="1">
      <alignment horizontal="center" vertical="center" wrapText="1"/>
    </xf>
    <xf numFmtId="0" fontId="11" fillId="0" borderId="21" xfId="0" applyFont="1" applyBorder="1" applyAlignment="1">
      <alignment horizontal="left" wrapText="1"/>
    </xf>
    <xf numFmtId="0" fontId="5" fillId="0" borderId="5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textRotation="90" wrapText="1"/>
    </xf>
    <xf numFmtId="49" fontId="5" fillId="0" borderId="30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/>
    </xf>
    <xf numFmtId="0" fontId="24" fillId="0" borderId="5" xfId="0" applyFont="1" applyBorder="1" applyAlignment="1">
      <alignment horizontal="left" vertical="center" wrapText="1"/>
    </xf>
    <xf numFmtId="49" fontId="25" fillId="0" borderId="30" xfId="0" applyNumberFormat="1" applyFont="1" applyBorder="1" applyAlignment="1">
      <alignment horizontal="center" vertical="center" wrapText="1"/>
    </xf>
    <xf numFmtId="49" fontId="25" fillId="0" borderId="10" xfId="0" applyNumberFormat="1" applyFont="1" applyBorder="1" applyAlignment="1">
      <alignment horizontal="center" vertical="center" wrapText="1"/>
    </xf>
    <xf numFmtId="167" fontId="24" fillId="0" borderId="5" xfId="1" applyNumberFormat="1" applyFont="1" applyBorder="1" applyAlignment="1">
      <alignment horizontal="center" vertical="center"/>
    </xf>
    <xf numFmtId="166" fontId="24" fillId="0" borderId="5" xfId="1" applyNumberFormat="1" applyFont="1" applyBorder="1" applyAlignment="1">
      <alignment horizontal="left" vertical="center" wrapText="1"/>
    </xf>
    <xf numFmtId="49" fontId="25" fillId="0" borderId="5" xfId="0" applyNumberFormat="1" applyFont="1" applyBorder="1" applyAlignment="1">
      <alignment horizontal="center" vertical="center" textRotation="90" wrapText="1"/>
    </xf>
    <xf numFmtId="49" fontId="25" fillId="0" borderId="5" xfId="0" applyNumberFormat="1" applyFont="1" applyBorder="1" applyAlignment="1">
      <alignment horizontal="center" vertical="center" wrapText="1"/>
    </xf>
    <xf numFmtId="0" fontId="25" fillId="0" borderId="21" xfId="0" applyFont="1" applyBorder="1" applyAlignment="1">
      <alignment horizontal="left" wrapText="1"/>
    </xf>
    <xf numFmtId="0" fontId="25" fillId="0" borderId="0" xfId="0" applyFont="1" applyAlignment="1">
      <alignment horizontal="left" wrapText="1"/>
    </xf>
    <xf numFmtId="0" fontId="25" fillId="0" borderId="5" xfId="0" applyFont="1" applyBorder="1" applyAlignment="1">
      <alignment horizontal="center" vertical="center" wrapText="1"/>
    </xf>
    <xf numFmtId="3" fontId="24" fillId="0" borderId="5" xfId="0" applyNumberFormat="1" applyFont="1" applyBorder="1" applyAlignment="1">
      <alignment horizontal="right" vertical="center"/>
    </xf>
    <xf numFmtId="3" fontId="25" fillId="0" borderId="5" xfId="0" applyNumberFormat="1" applyFont="1" applyBorder="1" applyAlignment="1">
      <alignment horizontal="right" vertical="center"/>
    </xf>
    <xf numFmtId="0" fontId="24" fillId="0" borderId="3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49" fontId="24" fillId="0" borderId="15" xfId="0" applyNumberFormat="1" applyFont="1" applyBorder="1" applyAlignment="1">
      <alignment horizontal="center" vertical="center" wrapText="1"/>
    </xf>
    <xf numFmtId="49" fontId="24" fillId="0" borderId="11" xfId="0" applyNumberFormat="1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33" fillId="0" borderId="32" xfId="0" applyFont="1" applyBorder="1" applyAlignment="1">
      <alignment horizontal="center" vertical="center" wrapText="1"/>
    </xf>
    <xf numFmtId="0" fontId="33" fillId="0" borderId="56" xfId="0" applyFont="1" applyBorder="1" applyAlignment="1">
      <alignment horizontal="center" vertical="center" wrapText="1"/>
    </xf>
    <xf numFmtId="0" fontId="33" fillId="0" borderId="42" xfId="0" applyFont="1" applyBorder="1" applyAlignment="1">
      <alignment horizontal="center" vertical="center" wrapText="1"/>
    </xf>
    <xf numFmtId="0" fontId="33" fillId="0" borderId="62" xfId="0" applyFont="1" applyBorder="1" applyAlignment="1">
      <alignment horizontal="center" vertical="center" wrapText="1"/>
    </xf>
    <xf numFmtId="0" fontId="33" fillId="0" borderId="36" xfId="0" applyFont="1" applyBorder="1" applyAlignment="1">
      <alignment horizontal="center" vertical="center" wrapText="1"/>
    </xf>
    <xf numFmtId="0" fontId="33" fillId="0" borderId="63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28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27" xfId="0" applyFont="1" applyBorder="1" applyAlignment="1">
      <alignment horizontal="left" vertical="center"/>
    </xf>
    <xf numFmtId="0" fontId="24" fillId="0" borderId="5" xfId="0" applyFont="1" applyBorder="1" applyAlignment="1">
      <alignment horizontal="left" vertical="center"/>
    </xf>
    <xf numFmtId="0" fontId="25" fillId="0" borderId="5" xfId="0" applyFont="1" applyBorder="1" applyAlignment="1">
      <alignment horizontal="left" vertical="center"/>
    </xf>
    <xf numFmtId="0" fontId="24" fillId="0" borderId="15" xfId="0" applyFont="1" applyBorder="1" applyAlignment="1">
      <alignment horizontal="left" vertical="center" wrapText="1"/>
    </xf>
    <xf numFmtId="0" fontId="24" fillId="0" borderId="11" xfId="0" applyFont="1" applyBorder="1" applyAlignment="1">
      <alignment horizontal="left" vertical="center" wrapText="1"/>
    </xf>
    <xf numFmtId="49" fontId="8" fillId="0" borderId="5" xfId="0" applyNumberFormat="1" applyFont="1" applyBorder="1" applyAlignment="1">
      <alignment horizontal="center" vertical="center" textRotation="90" wrapText="1"/>
    </xf>
    <xf numFmtId="0" fontId="28" fillId="0" borderId="5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left" vertical="center" wrapText="1"/>
    </xf>
    <xf numFmtId="49" fontId="25" fillId="0" borderId="7" xfId="0" applyNumberFormat="1" applyFont="1" applyBorder="1" applyAlignment="1">
      <alignment horizontal="center" vertical="center" wrapText="1"/>
    </xf>
    <xf numFmtId="0" fontId="23" fillId="2" borderId="30" xfId="0" applyFont="1" applyFill="1" applyBorder="1" applyAlignment="1">
      <alignment horizontal="left" vertical="center" wrapText="1"/>
    </xf>
    <xf numFmtId="0" fontId="23" fillId="2" borderId="7" xfId="0" applyFont="1" applyFill="1" applyBorder="1" applyAlignment="1">
      <alignment horizontal="left" vertical="center" wrapText="1"/>
    </xf>
    <xf numFmtId="0" fontId="23" fillId="2" borderId="10" xfId="0" applyFont="1" applyFill="1" applyBorder="1" applyAlignment="1">
      <alignment horizontal="left" vertical="center" wrapText="1"/>
    </xf>
    <xf numFmtId="0" fontId="23" fillId="8" borderId="30" xfId="0" applyFont="1" applyFill="1" applyBorder="1" applyAlignment="1">
      <alignment horizontal="left" vertical="center" wrapText="1"/>
    </xf>
    <xf numFmtId="0" fontId="23" fillId="8" borderId="7" xfId="0" applyFont="1" applyFill="1" applyBorder="1" applyAlignment="1">
      <alignment horizontal="left" vertical="center" wrapText="1"/>
    </xf>
    <xf numFmtId="0" fontId="23" fillId="8" borderId="10" xfId="0" applyFont="1" applyFill="1" applyBorder="1" applyAlignment="1">
      <alignment horizontal="left" vertical="center" wrapText="1"/>
    </xf>
    <xf numFmtId="3" fontId="25" fillId="0" borderId="5" xfId="0" applyNumberFormat="1" applyFont="1" applyBorder="1" applyAlignment="1">
      <alignment horizontal="center" vertical="center" wrapText="1"/>
    </xf>
    <xf numFmtId="0" fontId="23" fillId="16" borderId="30" xfId="0" applyFont="1" applyFill="1" applyBorder="1" applyAlignment="1">
      <alignment horizontal="left" vertical="center" wrapText="1"/>
    </xf>
    <xf numFmtId="0" fontId="23" fillId="16" borderId="7" xfId="0" applyFont="1" applyFill="1" applyBorder="1" applyAlignment="1">
      <alignment horizontal="left" vertical="center" wrapText="1"/>
    </xf>
    <xf numFmtId="0" fontId="23" fillId="16" borderId="10" xfId="0" applyFont="1" applyFill="1" applyBorder="1" applyAlignment="1">
      <alignment horizontal="left" vertical="center" wrapText="1"/>
    </xf>
    <xf numFmtId="49" fontId="25" fillId="0" borderId="15" xfId="0" applyNumberFormat="1" applyFont="1" applyBorder="1" applyAlignment="1">
      <alignment horizontal="center" vertical="center" wrapText="1"/>
    </xf>
    <xf numFmtId="49" fontId="25" fillId="0" borderId="11" xfId="0" applyNumberFormat="1" applyFont="1" applyBorder="1" applyAlignment="1">
      <alignment horizontal="center" vertical="center" wrapText="1"/>
    </xf>
    <xf numFmtId="4" fontId="33" fillId="0" borderId="30" xfId="0" applyNumberFormat="1" applyFont="1" applyBorder="1" applyAlignment="1">
      <alignment horizontal="center" vertical="center" wrapText="1"/>
    </xf>
    <xf numFmtId="4" fontId="33" fillId="0" borderId="10" xfId="0" applyNumberFormat="1" applyFont="1" applyBorder="1" applyAlignment="1">
      <alignment horizontal="center" vertical="center" wrapText="1"/>
    </xf>
    <xf numFmtId="0" fontId="23" fillId="15" borderId="30" xfId="0" applyFont="1" applyFill="1" applyBorder="1" applyAlignment="1">
      <alignment horizontal="left" vertical="center" wrapText="1"/>
    </xf>
    <xf numFmtId="0" fontId="23" fillId="15" borderId="7" xfId="0" applyFont="1" applyFill="1" applyBorder="1" applyAlignment="1">
      <alignment horizontal="left" vertical="center" wrapText="1"/>
    </xf>
    <xf numFmtId="0" fontId="23" fillId="15" borderId="10" xfId="0" applyFont="1" applyFill="1" applyBorder="1" applyAlignment="1">
      <alignment horizontal="left" vertical="center" wrapText="1"/>
    </xf>
    <xf numFmtId="3" fontId="36" fillId="0" borderId="5" xfId="0" applyNumberFormat="1" applyFont="1" applyBorder="1" applyAlignment="1">
      <alignment horizontal="right" vertical="center"/>
    </xf>
    <xf numFmtId="3" fontId="30" fillId="0" borderId="5" xfId="0" applyNumberFormat="1" applyFont="1" applyBorder="1" applyAlignment="1">
      <alignment horizontal="right" vertical="center"/>
    </xf>
    <xf numFmtId="49" fontId="8" fillId="0" borderId="15" xfId="0" applyNumberFormat="1" applyFont="1" applyBorder="1" applyAlignment="1">
      <alignment horizontal="center" vertical="center" wrapText="1"/>
    </xf>
    <xf numFmtId="49" fontId="8" fillId="0" borderId="11" xfId="0" applyNumberFormat="1" applyFont="1" applyBorder="1" applyAlignment="1">
      <alignment horizontal="center" vertical="center" wrapText="1"/>
    </xf>
    <xf numFmtId="49" fontId="8" fillId="17" borderId="15" xfId="0" applyNumberFormat="1" applyFont="1" applyFill="1" applyBorder="1" applyAlignment="1">
      <alignment horizontal="center" vertical="center" wrapText="1"/>
    </xf>
    <xf numFmtId="49" fontId="8" fillId="17" borderId="11" xfId="0" applyNumberFormat="1" applyFont="1" applyFill="1" applyBorder="1" applyAlignment="1">
      <alignment horizontal="center" vertical="center" wrapText="1"/>
    </xf>
    <xf numFmtId="4" fontId="24" fillId="17" borderId="5" xfId="0" applyNumberFormat="1" applyFont="1" applyFill="1" applyBorder="1" applyAlignment="1">
      <alignment horizontal="right" vertical="center"/>
    </xf>
    <xf numFmtId="3" fontId="8" fillId="0" borderId="5" xfId="0" applyNumberFormat="1" applyFont="1" applyBorder="1" applyAlignment="1">
      <alignment vertical="center"/>
    </xf>
    <xf numFmtId="3" fontId="8" fillId="0" borderId="5" xfId="0" applyNumberFormat="1" applyFont="1" applyBorder="1" applyAlignment="1">
      <alignment horizontal="right" vertical="center"/>
    </xf>
    <xf numFmtId="3" fontId="24" fillId="0" borderId="5" xfId="0" applyNumberFormat="1" applyFont="1" applyBorder="1" applyAlignment="1">
      <alignment vertical="center"/>
    </xf>
    <xf numFmtId="3" fontId="30" fillId="0" borderId="15" xfId="0" applyNumberFormat="1" applyFont="1" applyBorder="1" applyAlignment="1">
      <alignment horizontal="right" vertical="center"/>
    </xf>
    <xf numFmtId="3" fontId="30" fillId="0" borderId="13" xfId="0" applyNumberFormat="1" applyFont="1" applyBorder="1" applyAlignment="1">
      <alignment horizontal="right" vertical="center"/>
    </xf>
    <xf numFmtId="3" fontId="30" fillId="0" borderId="11" xfId="0" applyNumberFormat="1" applyFont="1" applyBorder="1" applyAlignment="1">
      <alignment horizontal="right" vertical="center"/>
    </xf>
    <xf numFmtId="169" fontId="33" fillId="0" borderId="30" xfId="0" applyNumberFormat="1" applyFont="1" applyBorder="1" applyAlignment="1">
      <alignment horizontal="center" vertical="center" wrapText="1"/>
    </xf>
    <xf numFmtId="169" fontId="33" fillId="0" borderId="7" xfId="0" applyNumberFormat="1" applyFont="1" applyBorder="1" applyAlignment="1">
      <alignment horizontal="center" vertical="center" wrapText="1"/>
    </xf>
    <xf numFmtId="169" fontId="33" fillId="0" borderId="10" xfId="0" applyNumberFormat="1" applyFont="1" applyBorder="1" applyAlignment="1">
      <alignment horizontal="center" vertical="center" wrapText="1"/>
    </xf>
    <xf numFmtId="3" fontId="24" fillId="17" borderId="5" xfId="0" applyNumberFormat="1" applyFont="1" applyFill="1" applyBorder="1" applyAlignment="1">
      <alignment horizontal="right" vertical="center"/>
    </xf>
    <xf numFmtId="4" fontId="24" fillId="17" borderId="15" xfId="0" applyNumberFormat="1" applyFont="1" applyFill="1" applyBorder="1" applyAlignment="1">
      <alignment horizontal="right" vertical="center"/>
    </xf>
    <xf numFmtId="4" fontId="24" fillId="17" borderId="13" xfId="0" applyNumberFormat="1" applyFont="1" applyFill="1" applyBorder="1" applyAlignment="1">
      <alignment horizontal="right" vertical="center"/>
    </xf>
    <xf numFmtId="4" fontId="24" fillId="17" borderId="11" xfId="0" applyNumberFormat="1" applyFont="1" applyFill="1" applyBorder="1" applyAlignment="1">
      <alignment horizontal="right" vertical="center"/>
    </xf>
    <xf numFmtId="0" fontId="24" fillId="0" borderId="19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5" fillId="0" borderId="16" xfId="0" applyFont="1" applyBorder="1" applyAlignment="1">
      <alignment horizontal="left" vertical="center"/>
    </xf>
    <xf numFmtId="0" fontId="25" fillId="0" borderId="33" xfId="0" applyFont="1" applyBorder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4" fillId="0" borderId="28" xfId="0" applyFont="1" applyBorder="1" applyAlignment="1">
      <alignment horizontal="right" vertical="center"/>
    </xf>
    <xf numFmtId="0" fontId="24" fillId="0" borderId="6" xfId="0" applyFont="1" applyBorder="1" applyAlignment="1">
      <alignment horizontal="right" vertical="center"/>
    </xf>
    <xf numFmtId="0" fontId="24" fillId="8" borderId="43" xfId="0" applyFont="1" applyFill="1" applyBorder="1" applyAlignment="1">
      <alignment horizontal="left" vertical="center" wrapText="1"/>
    </xf>
    <xf numFmtId="0" fontId="24" fillId="8" borderId="13" xfId="0" applyFont="1" applyFill="1" applyBorder="1" applyAlignment="1">
      <alignment horizontal="left" vertical="center" wrapText="1"/>
    </xf>
    <xf numFmtId="0" fontId="24" fillId="8" borderId="11" xfId="0" applyFont="1" applyFill="1" applyBorder="1" applyAlignment="1">
      <alignment horizontal="left" vertical="center" wrapText="1"/>
    </xf>
    <xf numFmtId="0" fontId="24" fillId="0" borderId="16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8" borderId="5" xfId="0" applyFont="1" applyFill="1" applyBorder="1" applyAlignment="1">
      <alignment horizontal="left" vertical="center" wrapText="1"/>
    </xf>
    <xf numFmtId="0" fontId="24" fillId="8" borderId="15" xfId="0" applyFont="1" applyFill="1" applyBorder="1" applyAlignment="1">
      <alignment horizontal="left" vertical="center" wrapText="1"/>
    </xf>
    <xf numFmtId="0" fontId="24" fillId="0" borderId="18" xfId="0" applyFont="1" applyBorder="1" applyAlignment="1">
      <alignment horizontal="center" vertical="center"/>
    </xf>
    <xf numFmtId="0" fontId="24" fillId="0" borderId="19" xfId="0" applyFont="1" applyBorder="1" applyAlignment="1">
      <alignment horizontal="right" vertical="center"/>
    </xf>
    <xf numFmtId="0" fontId="24" fillId="0" borderId="18" xfId="0" applyFont="1" applyBorder="1" applyAlignment="1">
      <alignment horizontal="right" vertical="center"/>
    </xf>
    <xf numFmtId="0" fontId="24" fillId="0" borderId="17" xfId="0" applyFont="1" applyBorder="1" applyAlignment="1">
      <alignment horizontal="right" vertical="center"/>
    </xf>
    <xf numFmtId="167" fontId="24" fillId="0" borderId="6" xfId="1" applyNumberFormat="1" applyFont="1" applyBorder="1" applyAlignment="1">
      <alignment horizontal="right" vertical="center"/>
    </xf>
    <xf numFmtId="167" fontId="24" fillId="0" borderId="6" xfId="1" applyNumberFormat="1" applyFont="1" applyBorder="1" applyAlignment="1">
      <alignment vertical="center"/>
    </xf>
    <xf numFmtId="167" fontId="24" fillId="0" borderId="19" xfId="1" applyNumberFormat="1" applyFont="1" applyBorder="1" applyAlignment="1">
      <alignment vertical="center"/>
    </xf>
    <xf numFmtId="167" fontId="24" fillId="0" borderId="18" xfId="1" applyNumberFormat="1" applyFont="1" applyBorder="1" applyAlignment="1">
      <alignment vertical="center"/>
    </xf>
    <xf numFmtId="167" fontId="24" fillId="0" borderId="17" xfId="1" applyNumberFormat="1" applyFont="1" applyBorder="1" applyAlignment="1">
      <alignment vertical="center"/>
    </xf>
    <xf numFmtId="166" fontId="24" fillId="0" borderId="15" xfId="1" applyNumberFormat="1" applyFont="1" applyBorder="1" applyAlignment="1">
      <alignment horizontal="left" vertical="center" wrapText="1"/>
    </xf>
    <xf numFmtId="166" fontId="24" fillId="0" borderId="13" xfId="1" applyNumberFormat="1" applyFont="1" applyBorder="1" applyAlignment="1">
      <alignment horizontal="left" vertical="center" wrapText="1"/>
    </xf>
    <xf numFmtId="166" fontId="24" fillId="0" borderId="11" xfId="1" applyNumberFormat="1" applyFont="1" applyBorder="1" applyAlignment="1">
      <alignment horizontal="left" vertical="center" wrapText="1"/>
    </xf>
    <xf numFmtId="0" fontId="25" fillId="0" borderId="40" xfId="0" applyFont="1" applyBorder="1" applyAlignment="1">
      <alignment horizontal="left"/>
    </xf>
    <xf numFmtId="0" fontId="25" fillId="0" borderId="37" xfId="0" applyFont="1" applyBorder="1" applyAlignment="1">
      <alignment horizontal="left"/>
    </xf>
    <xf numFmtId="0" fontId="25" fillId="0" borderId="0" xfId="0" applyFont="1" applyAlignment="1">
      <alignment horizontal="left"/>
    </xf>
    <xf numFmtId="167" fontId="24" fillId="0" borderId="28" xfId="1" applyNumberFormat="1" applyFont="1" applyBorder="1" applyAlignment="1">
      <alignment vertical="center"/>
    </xf>
    <xf numFmtId="166" fontId="24" fillId="0" borderId="27" xfId="1" applyNumberFormat="1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top" textRotation="90" wrapText="1"/>
    </xf>
    <xf numFmtId="0" fontId="8" fillId="0" borderId="3" xfId="0" applyFont="1" applyBorder="1" applyAlignment="1">
      <alignment horizontal="center" vertical="top" textRotation="90" wrapText="1"/>
    </xf>
    <xf numFmtId="0" fontId="8" fillId="0" borderId="15" xfId="0" applyFont="1" applyBorder="1" applyAlignment="1">
      <alignment horizontal="center" vertical="top" textRotation="90" wrapText="1"/>
    </xf>
    <xf numFmtId="0" fontId="8" fillId="0" borderId="23" xfId="0" applyFont="1" applyBorder="1" applyAlignment="1">
      <alignment horizontal="center" vertical="top" textRotation="90" wrapText="1"/>
    </xf>
    <xf numFmtId="0" fontId="30" fillId="0" borderId="5" xfId="0" applyFont="1" applyBorder="1" applyAlignment="1">
      <alignment horizontal="center" vertical="top" wrapText="1"/>
    </xf>
    <xf numFmtId="0" fontId="8" fillId="0" borderId="17" xfId="0" applyFont="1" applyBorder="1" applyAlignment="1">
      <alignment horizontal="center" vertical="top" textRotation="90" wrapText="1"/>
    </xf>
    <xf numFmtId="3" fontId="30" fillId="0" borderId="44" xfId="0" applyNumberFormat="1" applyFont="1" applyBorder="1" applyAlignment="1">
      <alignment horizontal="center" vertical="center" wrapText="1"/>
    </xf>
    <xf numFmtId="3" fontId="30" fillId="0" borderId="45" xfId="0" applyNumberFormat="1" applyFont="1" applyBorder="1" applyAlignment="1">
      <alignment horizontal="center" vertical="center" wrapText="1"/>
    </xf>
    <xf numFmtId="3" fontId="30" fillId="0" borderId="46" xfId="0" applyNumberFormat="1" applyFont="1" applyBorder="1" applyAlignment="1">
      <alignment horizontal="center" vertical="center" wrapText="1"/>
    </xf>
    <xf numFmtId="0" fontId="33" fillId="0" borderId="57" xfId="0" applyFont="1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 wrapText="1"/>
    </xf>
    <xf numFmtId="0" fontId="33" fillId="0" borderId="58" xfId="0" applyFont="1" applyBorder="1" applyAlignment="1">
      <alignment horizontal="center" vertical="center" wrapText="1"/>
    </xf>
    <xf numFmtId="0" fontId="33" fillId="0" borderId="43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0" fontId="33" fillId="0" borderId="23" xfId="0" applyFont="1" applyBorder="1" applyAlignment="1">
      <alignment horizontal="center" vertical="center" wrapText="1"/>
    </xf>
    <xf numFmtId="0" fontId="33" fillId="0" borderId="59" xfId="0" applyFont="1" applyBorder="1" applyAlignment="1">
      <alignment horizontal="center" vertical="center" wrapText="1"/>
    </xf>
    <xf numFmtId="0" fontId="33" fillId="0" borderId="60" xfId="0" applyFont="1" applyBorder="1" applyAlignment="1">
      <alignment horizontal="center" vertical="center" wrapText="1"/>
    </xf>
    <xf numFmtId="0" fontId="33" fillId="0" borderId="61" xfId="0" applyFont="1" applyBorder="1" applyAlignment="1">
      <alignment horizontal="center" vertical="center" wrapText="1"/>
    </xf>
    <xf numFmtId="0" fontId="34" fillId="0" borderId="25" xfId="0" applyFont="1" applyBorder="1" applyAlignment="1">
      <alignment horizontal="center" vertical="center" wrapText="1"/>
    </xf>
    <xf numFmtId="0" fontId="34" fillId="0" borderId="24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top" textRotation="90" wrapText="1"/>
    </xf>
    <xf numFmtId="0" fontId="30" fillId="0" borderId="30" xfId="0" applyFont="1" applyBorder="1" applyAlignment="1">
      <alignment horizontal="center" vertical="top" wrapText="1"/>
    </xf>
    <xf numFmtId="0" fontId="30" fillId="0" borderId="31" xfId="0" applyFont="1" applyBorder="1" applyAlignment="1">
      <alignment horizontal="center" vertical="top" wrapText="1"/>
    </xf>
    <xf numFmtId="0" fontId="34" fillId="0" borderId="44" xfId="0" applyFont="1" applyBorder="1" applyAlignment="1">
      <alignment horizontal="center" vertical="top" wrapText="1"/>
    </xf>
    <xf numFmtId="0" fontId="34" fillId="0" borderId="45" xfId="0" applyFont="1" applyBorder="1" applyAlignment="1">
      <alignment horizontal="center" vertical="top" wrapText="1"/>
    </xf>
    <xf numFmtId="0" fontId="34" fillId="0" borderId="46" xfId="0" applyFont="1" applyBorder="1" applyAlignment="1">
      <alignment horizontal="center" vertical="top" wrapText="1"/>
    </xf>
    <xf numFmtId="0" fontId="30" fillId="0" borderId="15" xfId="0" applyFont="1" applyBorder="1" applyAlignment="1">
      <alignment horizontal="center" vertical="top" wrapText="1"/>
    </xf>
    <xf numFmtId="0" fontId="30" fillId="0" borderId="23" xfId="0" applyFont="1" applyBorder="1" applyAlignment="1">
      <alignment horizontal="center" vertical="top" wrapText="1"/>
    </xf>
    <xf numFmtId="0" fontId="30" fillId="0" borderId="13" xfId="0" applyFont="1" applyBorder="1" applyAlignment="1">
      <alignment horizontal="center" vertical="top" wrapText="1"/>
    </xf>
    <xf numFmtId="0" fontId="34" fillId="0" borderId="25" xfId="0" applyFont="1" applyBorder="1" applyAlignment="1">
      <alignment horizontal="center" vertical="top" wrapText="1"/>
    </xf>
    <xf numFmtId="0" fontId="34" fillId="0" borderId="24" xfId="0" applyFont="1" applyBorder="1" applyAlignment="1">
      <alignment horizontal="center" vertical="top" wrapText="1"/>
    </xf>
    <xf numFmtId="0" fontId="34" fillId="0" borderId="52" xfId="0" applyFont="1" applyBorder="1" applyAlignment="1">
      <alignment horizontal="center" vertical="top" wrapText="1"/>
    </xf>
    <xf numFmtId="0" fontId="34" fillId="0" borderId="40" xfId="0" applyFont="1" applyBorder="1" applyAlignment="1">
      <alignment horizontal="center" vertical="top" wrapText="1"/>
    </xf>
    <xf numFmtId="0" fontId="34" fillId="0" borderId="37" xfId="0" applyFont="1" applyBorder="1" applyAlignment="1">
      <alignment horizontal="center" vertical="top" wrapText="1"/>
    </xf>
    <xf numFmtId="0" fontId="34" fillId="0" borderId="38" xfId="0" applyFont="1" applyBorder="1" applyAlignment="1">
      <alignment horizontal="center" vertical="top" wrapText="1"/>
    </xf>
    <xf numFmtId="0" fontId="33" fillId="0" borderId="28" xfId="0" applyFont="1" applyBorder="1" applyAlignment="1">
      <alignment horizontal="center" vertical="top" wrapText="1"/>
    </xf>
    <xf numFmtId="0" fontId="33" fillId="0" borderId="6" xfId="0" applyFont="1" applyBorder="1" applyAlignment="1">
      <alignment horizontal="center" vertical="top" wrapText="1"/>
    </xf>
    <xf numFmtId="0" fontId="33" fillId="0" borderId="3" xfId="0" applyFont="1" applyBorder="1" applyAlignment="1">
      <alignment horizontal="center" vertical="top" wrapText="1"/>
    </xf>
    <xf numFmtId="0" fontId="33" fillId="0" borderId="27" xfId="0" applyFont="1" applyBorder="1" applyAlignment="1">
      <alignment horizontal="center" vertical="top" wrapText="1"/>
    </xf>
    <xf numFmtId="0" fontId="33" fillId="0" borderId="5" xfId="0" applyFont="1" applyBorder="1" applyAlignment="1">
      <alignment horizontal="center" vertical="top" wrapText="1"/>
    </xf>
    <xf numFmtId="0" fontId="33" fillId="0" borderId="2" xfId="0" applyFont="1" applyBorder="1" applyAlignment="1">
      <alignment horizontal="center" vertical="top" wrapText="1"/>
    </xf>
    <xf numFmtId="0" fontId="33" fillId="0" borderId="26" xfId="0" applyFont="1" applyBorder="1" applyAlignment="1">
      <alignment vertical="top" wrapText="1"/>
    </xf>
    <xf numFmtId="0" fontId="33" fillId="0" borderId="30" xfId="0" applyFont="1" applyBorder="1" applyAlignment="1">
      <alignment vertical="top" wrapText="1"/>
    </xf>
    <xf numFmtId="0" fontId="33" fillId="0" borderId="35" xfId="0" applyFont="1" applyBorder="1" applyAlignment="1">
      <alignment vertical="top" wrapText="1"/>
    </xf>
    <xf numFmtId="0" fontId="30" fillId="0" borderId="36" xfId="0" applyFont="1" applyBorder="1" applyAlignment="1">
      <alignment horizontal="center" vertical="top" wrapText="1"/>
    </xf>
    <xf numFmtId="0" fontId="30" fillId="0" borderId="51" xfId="0" applyFont="1" applyBorder="1" applyAlignment="1">
      <alignment horizontal="center" vertical="top" wrapText="1"/>
    </xf>
    <xf numFmtId="0" fontId="24" fillId="0" borderId="19" xfId="0" applyFont="1" applyBorder="1" applyAlignment="1">
      <alignment vertical="center"/>
    </xf>
    <xf numFmtId="0" fontId="24" fillId="0" borderId="17" xfId="0" applyFont="1" applyBorder="1" applyAlignment="1">
      <alignment vertical="center"/>
    </xf>
    <xf numFmtId="0" fontId="24" fillId="0" borderId="32" xfId="0" applyFont="1" applyBorder="1" applyAlignment="1">
      <alignment horizontal="left" vertical="center" wrapText="1"/>
    </xf>
    <xf numFmtId="0" fontId="24" fillId="0" borderId="36" xfId="0" applyFont="1" applyBorder="1" applyAlignment="1">
      <alignment horizontal="left" vertical="center" wrapText="1"/>
    </xf>
    <xf numFmtId="0" fontId="25" fillId="0" borderId="9" xfId="0" applyFont="1" applyBorder="1" applyAlignment="1">
      <alignment horizontal="left" vertical="center"/>
    </xf>
    <xf numFmtId="0" fontId="25" fillId="0" borderId="7" xfId="0" applyFont="1" applyBorder="1" applyAlignment="1">
      <alignment horizontal="left" vertical="center"/>
    </xf>
    <xf numFmtId="0" fontId="24" fillId="8" borderId="28" xfId="0" applyFont="1" applyFill="1" applyBorder="1" applyAlignment="1">
      <alignment horizontal="center" vertical="center"/>
    </xf>
    <xf numFmtId="0" fontId="24" fillId="8" borderId="6" xfId="0" applyFont="1" applyFill="1" applyBorder="1" applyAlignment="1">
      <alignment horizontal="center" vertical="center"/>
    </xf>
    <xf numFmtId="0" fontId="24" fillId="8" borderId="27" xfId="0" applyFont="1" applyFill="1" applyBorder="1" applyAlignment="1">
      <alignment horizontal="left" vertical="center"/>
    </xf>
    <xf numFmtId="0" fontId="24" fillId="8" borderId="5" xfId="0" applyFont="1" applyFill="1" applyBorder="1" applyAlignment="1">
      <alignment horizontal="left" vertical="center"/>
    </xf>
    <xf numFmtId="0" fontId="34" fillId="0" borderId="30" xfId="0" applyFont="1" applyBorder="1" applyAlignment="1">
      <alignment horizontal="center" vertical="top" wrapText="1"/>
    </xf>
    <xf numFmtId="0" fontId="34" fillId="0" borderId="10" xfId="0" applyFont="1" applyBorder="1" applyAlignment="1">
      <alignment horizontal="center" vertical="top" wrapText="1"/>
    </xf>
    <xf numFmtId="0" fontId="33" fillId="0" borderId="15" xfId="0" applyFont="1" applyBorder="1" applyAlignment="1">
      <alignment horizontal="center" vertical="top" wrapText="1"/>
    </xf>
    <xf numFmtId="0" fontId="33" fillId="0" borderId="23" xfId="0" applyFont="1" applyBorder="1" applyAlignment="1">
      <alignment horizontal="center" vertical="top" wrapText="1"/>
    </xf>
    <xf numFmtId="0" fontId="27" fillId="0" borderId="15" xfId="0" applyFont="1" applyBorder="1" applyAlignment="1">
      <alignment horizontal="center" vertical="top" wrapText="1"/>
    </xf>
    <xf numFmtId="0" fontId="27" fillId="0" borderId="23" xfId="0" applyFont="1" applyBorder="1" applyAlignment="1">
      <alignment horizontal="center" vertical="top" wrapText="1"/>
    </xf>
    <xf numFmtId="166" fontId="24" fillId="0" borderId="5" xfId="1" applyNumberFormat="1" applyFont="1" applyBorder="1" applyAlignment="1">
      <alignment horizontal="left" vertical="center"/>
    </xf>
    <xf numFmtId="0" fontId="33" fillId="0" borderId="6" xfId="0" applyFont="1" applyBorder="1" applyAlignment="1">
      <alignment horizontal="center" vertical="top" textRotation="90" wrapText="1"/>
    </xf>
    <xf numFmtId="0" fontId="33" fillId="0" borderId="3" xfId="0" applyFont="1" applyBorder="1" applyAlignment="1">
      <alignment horizontal="center" vertical="top" textRotation="90" wrapText="1"/>
    </xf>
    <xf numFmtId="0" fontId="28" fillId="0" borderId="15" xfId="0" applyFont="1" applyBorder="1" applyAlignment="1">
      <alignment horizontal="center" vertical="top" textRotation="90" wrapText="1"/>
    </xf>
    <xf numFmtId="0" fontId="28" fillId="0" borderId="23" xfId="0" applyFont="1" applyBorder="1" applyAlignment="1">
      <alignment horizontal="center" vertical="top" textRotation="90" wrapText="1"/>
    </xf>
    <xf numFmtId="0" fontId="34" fillId="0" borderId="32" xfId="0" applyFont="1" applyBorder="1" applyAlignment="1">
      <alignment horizontal="center" vertical="top" wrapText="1"/>
    </xf>
    <xf numFmtId="0" fontId="34" fillId="0" borderId="34" xfId="0" applyFont="1" applyBorder="1" applyAlignment="1">
      <alignment horizontal="center" vertical="top" wrapText="1"/>
    </xf>
    <xf numFmtId="0" fontId="34" fillId="0" borderId="31" xfId="0" applyFont="1" applyBorder="1" applyAlignment="1">
      <alignment horizontal="center" vertical="top" wrapText="1"/>
    </xf>
    <xf numFmtId="167" fontId="24" fillId="0" borderId="28" xfId="1" applyNumberFormat="1" applyFont="1" applyBorder="1" applyAlignment="1">
      <alignment horizontal="right" vertical="center"/>
    </xf>
    <xf numFmtId="166" fontId="24" fillId="0" borderId="27" xfId="1" applyNumberFormat="1" applyFont="1" applyBorder="1" applyAlignment="1">
      <alignment horizontal="left" vertical="center"/>
    </xf>
    <xf numFmtId="166" fontId="24" fillId="0" borderId="15" xfId="1" applyNumberFormat="1" applyFont="1" applyBorder="1" applyAlignment="1">
      <alignment horizontal="left" vertical="center"/>
    </xf>
    <xf numFmtId="166" fontId="24" fillId="0" borderId="13" xfId="1" applyNumberFormat="1" applyFont="1" applyBorder="1" applyAlignment="1">
      <alignment horizontal="left" vertical="center"/>
    </xf>
    <xf numFmtId="166" fontId="24" fillId="0" borderId="11" xfId="1" applyNumberFormat="1" applyFont="1" applyBorder="1" applyAlignment="1">
      <alignment horizontal="left" vertical="center"/>
    </xf>
    <xf numFmtId="0" fontId="24" fillId="0" borderId="15" xfId="0" applyFont="1" applyBorder="1" applyAlignment="1">
      <alignment horizontal="left" vertical="center"/>
    </xf>
    <xf numFmtId="0" fontId="24" fillId="0" borderId="11" xfId="0" applyFont="1" applyBorder="1" applyAlignment="1">
      <alignment horizontal="left" vertical="center"/>
    </xf>
    <xf numFmtId="167" fontId="24" fillId="0" borderId="19" xfId="1" applyNumberFormat="1" applyFont="1" applyBorder="1" applyAlignment="1">
      <alignment horizontal="right" vertical="center"/>
    </xf>
    <xf numFmtId="167" fontId="24" fillId="0" borderId="18" xfId="1" applyNumberFormat="1" applyFont="1" applyBorder="1" applyAlignment="1">
      <alignment horizontal="right" vertical="center"/>
    </xf>
    <xf numFmtId="167" fontId="24" fillId="0" borderId="17" xfId="1" applyNumberFormat="1" applyFont="1" applyBorder="1" applyAlignment="1">
      <alignment horizontal="right" vertical="center"/>
    </xf>
    <xf numFmtId="166" fontId="24" fillId="0" borderId="15" xfId="1" applyNumberFormat="1" applyFont="1" applyBorder="1" applyAlignment="1">
      <alignment horizontal="center" vertical="center"/>
    </xf>
    <xf numFmtId="166" fontId="24" fillId="0" borderId="13" xfId="1" applyNumberFormat="1" applyFont="1" applyBorder="1" applyAlignment="1">
      <alignment horizontal="center" vertical="center"/>
    </xf>
    <xf numFmtId="166" fontId="24" fillId="0" borderId="11" xfId="1" applyNumberFormat="1" applyFont="1" applyBorder="1" applyAlignment="1">
      <alignment horizontal="center" vertical="center"/>
    </xf>
    <xf numFmtId="0" fontId="24" fillId="0" borderId="13" xfId="0" applyFont="1" applyBorder="1" applyAlignment="1">
      <alignment horizontal="left" vertical="center"/>
    </xf>
    <xf numFmtId="0" fontId="24" fillId="0" borderId="12" xfId="0" applyFont="1" applyBorder="1" applyAlignment="1">
      <alignment horizontal="center" vertical="center"/>
    </xf>
    <xf numFmtId="0" fontId="24" fillId="7" borderId="27" xfId="0" applyFont="1" applyFill="1" applyBorder="1" applyAlignment="1">
      <alignment horizontal="left" vertical="center"/>
    </xf>
    <xf numFmtId="0" fontId="24" fillId="7" borderId="5" xfId="0" applyFont="1" applyFill="1" applyBorder="1" applyAlignment="1">
      <alignment horizontal="left" vertical="center"/>
    </xf>
    <xf numFmtId="0" fontId="24" fillId="7" borderId="28" xfId="0" applyFont="1" applyFill="1" applyBorder="1" applyAlignment="1">
      <alignment horizontal="center" vertical="center"/>
    </xf>
    <xf numFmtId="0" fontId="24" fillId="7" borderId="6" xfId="0" applyFont="1" applyFill="1" applyBorder="1" applyAlignment="1">
      <alignment horizontal="center" vertical="center"/>
    </xf>
    <xf numFmtId="0" fontId="33" fillId="0" borderId="11" xfId="0" applyFont="1" applyBorder="1" applyAlignment="1">
      <alignment horizontal="center" vertical="top" wrapText="1"/>
    </xf>
    <xf numFmtId="0" fontId="24" fillId="0" borderId="42" xfId="0" applyFont="1" applyBorder="1" applyAlignment="1">
      <alignment horizontal="left" vertical="center"/>
    </xf>
    <xf numFmtId="0" fontId="24" fillId="0" borderId="36" xfId="0" applyFont="1" applyBorder="1" applyAlignment="1">
      <alignment horizontal="left" vertical="center"/>
    </xf>
    <xf numFmtId="0" fontId="11" fillId="0" borderId="40" xfId="0" applyFont="1" applyBorder="1" applyAlignment="1">
      <alignment horizontal="center" vertical="top" wrapText="1"/>
    </xf>
    <xf numFmtId="0" fontId="11" fillId="0" borderId="37" xfId="0" applyFont="1" applyBorder="1" applyAlignment="1">
      <alignment horizontal="center" vertical="top" wrapText="1"/>
    </xf>
    <xf numFmtId="0" fontId="11" fillId="0" borderId="38" xfId="0" applyFont="1" applyBorder="1" applyAlignment="1">
      <alignment horizontal="center" vertical="top" wrapText="1"/>
    </xf>
    <xf numFmtId="0" fontId="11" fillId="0" borderId="14" xfId="0" applyFont="1" applyBorder="1" applyAlignment="1">
      <alignment horizontal="center" vertical="top" wrapText="1"/>
    </xf>
    <xf numFmtId="0" fontId="11" fillId="0" borderId="29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top" wrapText="1"/>
    </xf>
    <xf numFmtId="0" fontId="6" fillId="0" borderId="23" xfId="0" applyFont="1" applyBorder="1" applyAlignment="1">
      <alignment horizontal="center" vertical="top" wrapText="1"/>
    </xf>
    <xf numFmtId="166" fontId="5" fillId="0" borderId="5" xfId="1" applyNumberFormat="1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27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27" xfId="0" applyFont="1" applyBorder="1" applyAlignment="1">
      <alignment vertical="top" wrapText="1"/>
    </xf>
    <xf numFmtId="0" fontId="5" fillId="0" borderId="5" xfId="0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0" fontId="5" fillId="0" borderId="5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/>
    </xf>
    <xf numFmtId="0" fontId="4" fillId="0" borderId="21" xfId="0" applyFont="1" applyBorder="1" applyAlignment="1">
      <alignment horizontal="left"/>
    </xf>
    <xf numFmtId="167" fontId="5" fillId="0" borderId="6" xfId="1" applyNumberFormat="1" applyFont="1" applyBorder="1" applyAlignment="1">
      <alignment horizontal="right" vertical="center"/>
    </xf>
    <xf numFmtId="0" fontId="4" fillId="0" borderId="26" xfId="0" applyFont="1" applyBorder="1" applyAlignment="1">
      <alignment horizontal="center" vertical="top" wrapText="1"/>
    </xf>
    <xf numFmtId="0" fontId="4" fillId="0" borderId="24" xfId="0" applyFont="1" applyBorder="1" applyAlignment="1">
      <alignment horizontal="center" vertical="top" wrapText="1"/>
    </xf>
    <xf numFmtId="0" fontId="4" fillId="0" borderId="32" xfId="0" applyFont="1" applyBorder="1" applyAlignment="1">
      <alignment horizontal="center" vertical="top" wrapText="1"/>
    </xf>
    <xf numFmtId="0" fontId="4" fillId="0" borderId="33" xfId="0" applyFont="1" applyBorder="1" applyAlignment="1">
      <alignment horizontal="center" vertical="top" wrapText="1"/>
    </xf>
    <xf numFmtId="0" fontId="5" fillId="0" borderId="1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wrapText="1"/>
    </xf>
    <xf numFmtId="166" fontId="5" fillId="0" borderId="15" xfId="1" applyNumberFormat="1" applyFont="1" applyBorder="1" applyAlignment="1">
      <alignment horizontal="left" vertical="center" wrapText="1"/>
    </xf>
    <xf numFmtId="166" fontId="5" fillId="0" borderId="13" xfId="1" applyNumberFormat="1" applyFont="1" applyBorder="1" applyAlignment="1">
      <alignment horizontal="left" vertical="center" wrapText="1"/>
    </xf>
    <xf numFmtId="166" fontId="5" fillId="0" borderId="11" xfId="1" applyNumberFormat="1" applyFont="1" applyBorder="1" applyAlignment="1">
      <alignment horizontal="left" vertical="center" wrapText="1"/>
    </xf>
    <xf numFmtId="0" fontId="5" fillId="0" borderId="19" xfId="0" applyFont="1" applyBorder="1" applyAlignment="1">
      <alignment horizontal="right" vertical="center"/>
    </xf>
    <xf numFmtId="0" fontId="5" fillId="0" borderId="18" xfId="0" applyFont="1" applyBorder="1" applyAlignment="1">
      <alignment horizontal="right" vertical="center"/>
    </xf>
    <xf numFmtId="0" fontId="5" fillId="0" borderId="17" xfId="0" applyFont="1" applyBorder="1" applyAlignment="1">
      <alignment horizontal="right" vertical="center"/>
    </xf>
    <xf numFmtId="0" fontId="4" fillId="0" borderId="30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25" xfId="0" applyFont="1" applyBorder="1" applyAlignment="1">
      <alignment horizontal="center" vertical="top"/>
    </xf>
    <xf numFmtId="0" fontId="4" fillId="0" borderId="24" xfId="0" applyFont="1" applyBorder="1" applyAlignment="1">
      <alignment horizontal="center" vertical="top"/>
    </xf>
    <xf numFmtId="0" fontId="4" fillId="0" borderId="40" xfId="0" applyFont="1" applyBorder="1" applyAlignment="1">
      <alignment horizontal="center" vertical="top" wrapText="1"/>
    </xf>
    <xf numFmtId="0" fontId="4" fillId="0" borderId="37" xfId="0" applyFont="1" applyBorder="1" applyAlignment="1">
      <alignment horizontal="center" vertical="top" wrapText="1"/>
    </xf>
    <xf numFmtId="0" fontId="4" fillId="0" borderId="38" xfId="0" applyFont="1" applyBorder="1" applyAlignment="1">
      <alignment horizontal="center" vertical="top" wrapText="1"/>
    </xf>
    <xf numFmtId="0" fontId="4" fillId="0" borderId="34" xfId="0" applyFont="1" applyBorder="1" applyAlignment="1">
      <alignment horizontal="center" vertical="top" wrapText="1"/>
    </xf>
    <xf numFmtId="0" fontId="5" fillId="0" borderId="28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right" vertical="center"/>
    </xf>
    <xf numFmtId="167" fontId="5" fillId="0" borderId="19" xfId="1" applyNumberFormat="1" applyFont="1" applyBorder="1" applyAlignment="1">
      <alignment horizontal="center" vertical="center"/>
    </xf>
    <xf numFmtId="167" fontId="5" fillId="0" borderId="18" xfId="1" applyNumberFormat="1" applyFont="1" applyBorder="1" applyAlignment="1">
      <alignment horizontal="center" vertical="center"/>
    </xf>
    <xf numFmtId="167" fontId="5" fillId="0" borderId="17" xfId="1" applyNumberFormat="1" applyFont="1" applyBorder="1" applyAlignment="1">
      <alignment horizontal="center" vertical="center"/>
    </xf>
    <xf numFmtId="166" fontId="5" fillId="0" borderId="15" xfId="1" applyNumberFormat="1" applyFont="1" applyBorder="1" applyAlignment="1">
      <alignment horizontal="center" vertical="center" wrapText="1"/>
    </xf>
    <xf numFmtId="166" fontId="5" fillId="0" borderId="13" xfId="1" applyNumberFormat="1" applyFont="1" applyBorder="1" applyAlignment="1">
      <alignment horizontal="center" vertical="center" wrapText="1"/>
    </xf>
    <xf numFmtId="166" fontId="5" fillId="0" borderId="11" xfId="1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</cellXfs>
  <cellStyles count="14">
    <cellStyle name=" 1" xfId="2" xr:uid="{00000000-0005-0000-0000-000000000000}"/>
    <cellStyle name="Обычный" xfId="0" builtinId="0"/>
    <cellStyle name="Обычный 2" xfId="3" xr:uid="{00000000-0005-0000-0000-000002000000}"/>
    <cellStyle name="Обычный 2 2" xfId="4" xr:uid="{00000000-0005-0000-0000-000003000000}"/>
    <cellStyle name="Обычный 2_Копия Расчет нормативов СОШ на 2014 год _окончательно" xfId="5" xr:uid="{00000000-0005-0000-0000-000004000000}"/>
    <cellStyle name="Обычный 3" xfId="6" xr:uid="{00000000-0005-0000-0000-000005000000}"/>
    <cellStyle name="Обычный_Свод по штатам" xfId="1" xr:uid="{00000000-0005-0000-0000-000006000000}"/>
    <cellStyle name="Процентный 2" xfId="7" xr:uid="{00000000-0005-0000-0000-000007000000}"/>
    <cellStyle name="Процентный 3" xfId="8" xr:uid="{00000000-0005-0000-0000-000008000000}"/>
    <cellStyle name="Финансовый 2" xfId="9" xr:uid="{00000000-0005-0000-0000-000009000000}"/>
    <cellStyle name="Финансовый 2 2" xfId="10" xr:uid="{00000000-0005-0000-0000-00000A000000}"/>
    <cellStyle name="Финансовый 2_Повышение_ УточнСВОД_ДДУ_СрЗП_учреждения" xfId="11" xr:uid="{00000000-0005-0000-0000-00000B000000}"/>
    <cellStyle name="Финансовый 3" xfId="12" xr:uid="{00000000-0005-0000-0000-00000C000000}"/>
    <cellStyle name="Финансовый 4" xfId="13" xr:uid="{00000000-0005-0000-0000-00000D000000}"/>
  </cellStyles>
  <dxfs count="0"/>
  <tableStyles count="0" defaultTableStyle="TableStyleMedium2" defaultPivotStyle="PivotStyleLight16"/>
  <colors>
    <mruColors>
      <color rgb="FFFFFFCC"/>
      <color rgb="FFFFCCCC"/>
      <color rgb="FFCCECFF"/>
      <color rgb="FFCCFFCC"/>
      <color rgb="FFBFBF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1052;&#1086;&#1080;%20&#1076;&#1086;&#1082;&#1091;&#1084;&#1077;&#1085;&#1090;&#1099;\&#1058;&#1072;&#1073;&#1083;&#1080;&#1094;&#1099;\&#1055;&#1088;&#1086;&#1075;&#1088;&#1072;&#1084;&#1084;&#1099;\2003\&#1054;&#1090;&#1095;&#1077;&#1090;\&#1054;&#1090;&#1095;&#1077;&#1090;_&#1086;&#1090;&#1076;&#1077;&#1083;&#1099;_12_&#1084;&#1077;&#1089;\&#1080;&#1085;&#1092;&#1086;&#1088;&#1084;&#1072;&#1090;&#1080;&#1079;&#1072;&#1094;&#1080;&#110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-программы (2)"/>
      <sheetName val="план-программы"/>
    </sheet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AN12"/>
  <sheetViews>
    <sheetView tabSelected="1" zoomScale="70" zoomScaleNormal="70" zoomScaleSheetLayoutView="30" workbookViewId="0">
      <selection activeCell="A3" sqref="A3"/>
    </sheetView>
  </sheetViews>
  <sheetFormatPr defaultColWidth="8.85546875" defaultRowHeight="15" x14ac:dyDescent="0.2"/>
  <cols>
    <col min="1" max="1" width="5.7109375" style="163" customWidth="1"/>
    <col min="2" max="2" width="53.85546875" style="162" customWidth="1"/>
    <col min="3" max="4" width="7.85546875" style="163" customWidth="1"/>
    <col min="5" max="5" width="12.28515625" style="166" customWidth="1"/>
    <col min="6" max="6" width="16.140625" style="166" customWidth="1"/>
    <col min="7" max="7" width="12.28515625" style="166" customWidth="1"/>
    <col min="8" max="8" width="26.42578125" style="166" customWidth="1"/>
    <col min="9" max="9" width="12.28515625" style="166" customWidth="1"/>
    <col min="10" max="11" width="15.5703125" style="166" customWidth="1"/>
    <col min="12" max="12" width="14.7109375" style="166" customWidth="1"/>
    <col min="13" max="13" width="13.7109375" style="166" customWidth="1"/>
    <col min="14" max="14" width="12.5703125" style="166" customWidth="1"/>
    <col min="15" max="15" width="12.28515625" style="166" customWidth="1"/>
    <col min="16" max="16" width="11.5703125" style="166" customWidth="1"/>
    <col min="17" max="17" width="12.5703125" style="166" customWidth="1"/>
    <col min="18" max="18" width="12.28515625" style="166" customWidth="1"/>
    <col min="19" max="19" width="13" style="166" customWidth="1"/>
    <col min="20" max="20" width="12.5703125" style="166" customWidth="1"/>
    <col min="21" max="25" width="11.140625" style="166" customWidth="1"/>
    <col min="26" max="27" width="8.5703125" style="166" customWidth="1"/>
    <col min="28" max="28" width="14.42578125" style="166" customWidth="1"/>
    <col min="29" max="29" width="11.140625" style="166" customWidth="1"/>
    <col min="30" max="30" width="12" style="166" customWidth="1"/>
    <col min="31" max="31" width="11.140625" style="166" customWidth="1"/>
    <col min="32" max="32" width="16.140625" style="166" customWidth="1"/>
    <col min="33" max="36" width="19.7109375" style="166" customWidth="1"/>
    <col min="37" max="37" width="23.7109375" style="166" customWidth="1"/>
    <col min="38" max="39" width="19.28515625" style="166" customWidth="1"/>
    <col min="40" max="40" width="24.5703125" style="166" customWidth="1"/>
    <col min="41" max="16384" width="8.85546875" style="166"/>
  </cols>
  <sheetData>
    <row r="1" spans="1:40" ht="102" customHeight="1" x14ac:dyDescent="0.3">
      <c r="A1" s="1005"/>
      <c r="B1" s="1006"/>
      <c r="C1" s="1005"/>
      <c r="D1" s="1005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1007"/>
      <c r="AM1" s="1030"/>
      <c r="AN1" s="1031"/>
    </row>
    <row r="2" spans="1:40" ht="45" customHeight="1" x14ac:dyDescent="0.2">
      <c r="A2" s="1029" t="s">
        <v>590</v>
      </c>
      <c r="B2" s="1029"/>
      <c r="C2" s="1029"/>
      <c r="D2" s="1029"/>
      <c r="E2" s="1029"/>
      <c r="F2" s="1029"/>
      <c r="G2" s="1029"/>
      <c r="H2" s="1029"/>
      <c r="I2" s="1029"/>
      <c r="J2" s="1029"/>
      <c r="K2" s="1029"/>
      <c r="L2" s="1029"/>
      <c r="M2" s="1029"/>
      <c r="N2" s="1029"/>
      <c r="O2" s="1029"/>
      <c r="P2" s="1029"/>
      <c r="Q2" s="1029"/>
      <c r="R2" s="1029"/>
      <c r="S2" s="1029"/>
      <c r="T2" s="1029"/>
      <c r="U2" s="1029"/>
      <c r="V2" s="1029"/>
      <c r="W2" s="1029"/>
      <c r="X2" s="1029"/>
      <c r="Y2" s="1029"/>
      <c r="Z2" s="1029"/>
      <c r="AA2" s="1029"/>
      <c r="AB2" s="1029"/>
      <c r="AC2" s="1029"/>
      <c r="AD2" s="1029"/>
      <c r="AE2" s="1029"/>
      <c r="AF2" s="1029"/>
      <c r="AG2" s="1029"/>
      <c r="AH2" s="1029"/>
      <c r="AI2" s="1029"/>
      <c r="AJ2" s="1029"/>
      <c r="AK2" s="1029"/>
      <c r="AL2" s="1029"/>
      <c r="AM2" s="1029"/>
      <c r="AN2" s="1029"/>
    </row>
    <row r="3" spans="1:40" ht="30" customHeight="1" x14ac:dyDescent="0.3">
      <c r="A3" s="1005"/>
      <c r="B3" s="1036"/>
      <c r="C3" s="1036"/>
      <c r="D3" s="1036"/>
      <c r="E3" s="1036"/>
      <c r="F3" s="1036"/>
      <c r="G3" s="1036"/>
      <c r="H3" s="1036"/>
      <c r="I3" s="1036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</row>
    <row r="4" spans="1:40" s="987" customFormat="1" ht="122.45" customHeight="1" x14ac:dyDescent="0.2">
      <c r="A4" s="1037" t="s">
        <v>565</v>
      </c>
      <c r="B4" s="1037" t="s">
        <v>588</v>
      </c>
      <c r="C4" s="1038" t="s">
        <v>206</v>
      </c>
      <c r="D4" s="1038" t="s">
        <v>462</v>
      </c>
      <c r="E4" s="1035" t="s">
        <v>562</v>
      </c>
      <c r="F4" s="1035"/>
      <c r="G4" s="1035"/>
      <c r="H4" s="1035"/>
      <c r="I4" s="1035"/>
      <c r="J4" s="1035" t="s">
        <v>469</v>
      </c>
      <c r="K4" s="1035"/>
      <c r="L4" s="1008" t="s">
        <v>568</v>
      </c>
      <c r="M4" s="1008" t="s">
        <v>472</v>
      </c>
      <c r="N4" s="1008" t="s">
        <v>474</v>
      </c>
      <c r="O4" s="1008" t="s">
        <v>476</v>
      </c>
      <c r="P4" s="1008" t="s">
        <v>478</v>
      </c>
      <c r="Q4" s="1008" t="s">
        <v>583</v>
      </c>
      <c r="R4" s="1008" t="s">
        <v>480</v>
      </c>
      <c r="S4" s="1008" t="s">
        <v>482</v>
      </c>
      <c r="T4" s="1008" t="s">
        <v>484</v>
      </c>
      <c r="U4" s="1008" t="s">
        <v>485</v>
      </c>
      <c r="V4" s="1008" t="s">
        <v>569</v>
      </c>
      <c r="W4" s="1008" t="s">
        <v>487</v>
      </c>
      <c r="X4" s="1008" t="s">
        <v>489</v>
      </c>
      <c r="Y4" s="1008" t="s">
        <v>490</v>
      </c>
      <c r="Z4" s="1039" t="s">
        <v>495</v>
      </c>
      <c r="AA4" s="1040"/>
      <c r="AB4" s="1008" t="s">
        <v>492</v>
      </c>
      <c r="AC4" s="1008" t="s">
        <v>494</v>
      </c>
      <c r="AD4" s="1008" t="s">
        <v>496</v>
      </c>
      <c r="AE4" s="1008" t="s">
        <v>160</v>
      </c>
      <c r="AF4" s="1008" t="s">
        <v>499</v>
      </c>
      <c r="AG4" s="1008" t="s">
        <v>500</v>
      </c>
      <c r="AH4" s="1008" t="s">
        <v>504</v>
      </c>
      <c r="AI4" s="1008" t="s">
        <v>503</v>
      </c>
      <c r="AJ4" s="1008" t="s">
        <v>584</v>
      </c>
      <c r="AK4" s="1009" t="s">
        <v>585</v>
      </c>
      <c r="AL4" s="1022" t="s">
        <v>577</v>
      </c>
      <c r="AM4" s="1009" t="s">
        <v>578</v>
      </c>
      <c r="AN4" s="1009" t="s">
        <v>582</v>
      </c>
    </row>
    <row r="5" spans="1:40" s="987" customFormat="1" ht="212.45" customHeight="1" x14ac:dyDescent="0.2">
      <c r="A5" s="1037"/>
      <c r="B5" s="1037"/>
      <c r="C5" s="1038"/>
      <c r="D5" s="1038"/>
      <c r="E5" s="1008" t="s">
        <v>463</v>
      </c>
      <c r="F5" s="1008" t="s">
        <v>464</v>
      </c>
      <c r="G5" s="1008" t="s">
        <v>465</v>
      </c>
      <c r="H5" s="1008" t="s">
        <v>466</v>
      </c>
      <c r="I5" s="1008" t="s">
        <v>467</v>
      </c>
      <c r="J5" s="1008" t="s">
        <v>571</v>
      </c>
      <c r="K5" s="1008" t="s">
        <v>468</v>
      </c>
      <c r="L5" s="1008" t="s">
        <v>471</v>
      </c>
      <c r="M5" s="1008" t="s">
        <v>473</v>
      </c>
      <c r="N5" s="1008" t="s">
        <v>475</v>
      </c>
      <c r="O5" s="1008" t="s">
        <v>477</v>
      </c>
      <c r="P5" s="1008" t="s">
        <v>479</v>
      </c>
      <c r="Q5" s="1008" t="s">
        <v>479</v>
      </c>
      <c r="R5" s="1008" t="s">
        <v>481</v>
      </c>
      <c r="S5" s="1008" t="s">
        <v>483</v>
      </c>
      <c r="T5" s="1008" t="s">
        <v>483</v>
      </c>
      <c r="U5" s="1008" t="s">
        <v>486</v>
      </c>
      <c r="V5" s="1008" t="s">
        <v>570</v>
      </c>
      <c r="W5" s="1008" t="s">
        <v>488</v>
      </c>
      <c r="X5" s="1008" t="s">
        <v>506</v>
      </c>
      <c r="Y5" s="1008" t="s">
        <v>491</v>
      </c>
      <c r="Z5" s="1008" t="s">
        <v>566</v>
      </c>
      <c r="AA5" s="1008" t="s">
        <v>567</v>
      </c>
      <c r="AB5" s="1008" t="s">
        <v>493</v>
      </c>
      <c r="AC5" s="1008" t="s">
        <v>572</v>
      </c>
      <c r="AD5" s="1008" t="s">
        <v>497</v>
      </c>
      <c r="AE5" s="1008" t="s">
        <v>498</v>
      </c>
      <c r="AF5" s="1008" t="s">
        <v>502</v>
      </c>
      <c r="AG5" s="1008" t="s">
        <v>501</v>
      </c>
      <c r="AH5" s="1008" t="s">
        <v>563</v>
      </c>
      <c r="AI5" s="1008" t="s">
        <v>564</v>
      </c>
      <c r="AJ5" s="1008" t="s">
        <v>505</v>
      </c>
      <c r="AK5" s="1009"/>
      <c r="AL5" s="1009"/>
      <c r="AM5" s="1009"/>
      <c r="AN5" s="1023"/>
    </row>
    <row r="6" spans="1:40" s="987" customFormat="1" ht="15.75" x14ac:dyDescent="0.2">
      <c r="A6" s="1008" t="s">
        <v>559</v>
      </c>
      <c r="B6" s="1008" t="s">
        <v>560</v>
      </c>
      <c r="C6" s="1008" t="s">
        <v>561</v>
      </c>
      <c r="D6" s="1008" t="s">
        <v>507</v>
      </c>
      <c r="E6" s="1008" t="s">
        <v>508</v>
      </c>
      <c r="F6" s="1008" t="s">
        <v>509</v>
      </c>
      <c r="G6" s="1008" t="s">
        <v>510</v>
      </c>
      <c r="H6" s="1008" t="s">
        <v>511</v>
      </c>
      <c r="I6" s="1008" t="s">
        <v>512</v>
      </c>
      <c r="J6" s="1008" t="s">
        <v>513</v>
      </c>
      <c r="K6" s="1008" t="s">
        <v>514</v>
      </c>
      <c r="L6" s="1008" t="s">
        <v>515</v>
      </c>
      <c r="M6" s="1008" t="s">
        <v>516</v>
      </c>
      <c r="N6" s="1008" t="s">
        <v>517</v>
      </c>
      <c r="O6" s="1008" t="s">
        <v>518</v>
      </c>
      <c r="P6" s="1008" t="s">
        <v>519</v>
      </c>
      <c r="Q6" s="1008" t="s">
        <v>520</v>
      </c>
      <c r="R6" s="1008" t="s">
        <v>521</v>
      </c>
      <c r="S6" s="1008" t="s">
        <v>522</v>
      </c>
      <c r="T6" s="1008" t="s">
        <v>523</v>
      </c>
      <c r="U6" s="1008" t="s">
        <v>524</v>
      </c>
      <c r="V6" s="1008" t="s">
        <v>525</v>
      </c>
      <c r="W6" s="1008" t="s">
        <v>526</v>
      </c>
      <c r="X6" s="1008" t="s">
        <v>527</v>
      </c>
      <c r="Y6" s="1008" t="s">
        <v>528</v>
      </c>
      <c r="Z6" s="1008" t="s">
        <v>529</v>
      </c>
      <c r="AA6" s="1008" t="s">
        <v>530</v>
      </c>
      <c r="AB6" s="1008" t="s">
        <v>531</v>
      </c>
      <c r="AC6" s="1008" t="s">
        <v>532</v>
      </c>
      <c r="AD6" s="1008" t="s">
        <v>533</v>
      </c>
      <c r="AE6" s="1008" t="s">
        <v>534</v>
      </c>
      <c r="AF6" s="1008" t="s">
        <v>535</v>
      </c>
      <c r="AG6" s="1008" t="s">
        <v>536</v>
      </c>
      <c r="AH6" s="1008" t="s">
        <v>537</v>
      </c>
      <c r="AI6" s="1008" t="s">
        <v>538</v>
      </c>
      <c r="AJ6" s="1008" t="s">
        <v>539</v>
      </c>
      <c r="AK6" s="1008" t="s">
        <v>573</v>
      </c>
      <c r="AL6" s="1008" t="s">
        <v>579</v>
      </c>
      <c r="AM6" s="1008" t="s">
        <v>580</v>
      </c>
      <c r="AN6" s="1008" t="s">
        <v>581</v>
      </c>
    </row>
    <row r="7" spans="1:40" s="184" customFormat="1" ht="63.75" customHeight="1" x14ac:dyDescent="0.2">
      <c r="A7" s="1011">
        <v>2</v>
      </c>
      <c r="B7" s="1024" t="s">
        <v>586</v>
      </c>
      <c r="C7" s="1011">
        <v>1</v>
      </c>
      <c r="D7" s="1011">
        <v>16</v>
      </c>
      <c r="E7" s="1011" t="s">
        <v>574</v>
      </c>
      <c r="F7" s="1011" t="s">
        <v>574</v>
      </c>
      <c r="G7" s="1011">
        <v>0</v>
      </c>
      <c r="H7" s="1011">
        <v>0.1</v>
      </c>
      <c r="I7" s="1011" t="s">
        <v>574</v>
      </c>
      <c r="J7" s="1011" t="s">
        <v>574</v>
      </c>
      <c r="K7" s="1011" t="s">
        <v>574</v>
      </c>
      <c r="L7" s="1014">
        <v>28750</v>
      </c>
      <c r="M7" s="1012">
        <v>164.33</v>
      </c>
      <c r="N7" s="1012">
        <f>ROUND(L7/M7,2)</f>
        <v>174.95</v>
      </c>
      <c r="O7" s="1011">
        <v>1</v>
      </c>
      <c r="P7" s="1011">
        <v>16</v>
      </c>
      <c r="Q7" s="1011">
        <v>0</v>
      </c>
      <c r="R7" s="1025">
        <f>ROUND(N7*20%*Q7/P7,2)</f>
        <v>0</v>
      </c>
      <c r="S7" s="1011">
        <v>30</v>
      </c>
      <c r="T7" s="1027">
        <v>1</v>
      </c>
      <c r="U7" s="1025">
        <f>ROUND(N7*(T7/S7),2)</f>
        <v>5.83</v>
      </c>
      <c r="V7" s="1012">
        <v>0</v>
      </c>
      <c r="W7" s="1012">
        <f t="shared" ref="W7" si="0">ROUND((N7+R7+U7+V7)/12,2)</f>
        <v>15.07</v>
      </c>
      <c r="X7" s="1013">
        <v>0.30199999999999999</v>
      </c>
      <c r="Y7" s="1012">
        <f t="shared" ref="Y7" si="1">ROUND((N7+R7+U7+W7+V7)*X7,2)</f>
        <v>59.15</v>
      </c>
      <c r="Z7" s="1011">
        <v>1</v>
      </c>
      <c r="AA7" s="1011">
        <v>0</v>
      </c>
      <c r="AB7" s="1011">
        <v>1.1000000000000001</v>
      </c>
      <c r="AC7" s="1012">
        <f>(ROUND((N7+R7+U7++V7+W7+Y7)*AB7,2))</f>
        <v>280.5</v>
      </c>
      <c r="AD7" s="1027">
        <f>ROUND(S7*P7/O7,2)</f>
        <v>480</v>
      </c>
      <c r="AE7" s="1011">
        <v>1</v>
      </c>
      <c r="AF7" s="1014">
        <f t="shared" ref="AF7" si="2">(AC7*AD7)*0.2</f>
        <v>26928</v>
      </c>
      <c r="AG7" s="1014">
        <f t="shared" ref="AG7" si="3">ROUND((AC7*AD7+AF7)*0.05,2)</f>
        <v>8078.4</v>
      </c>
      <c r="AH7" s="1026">
        <v>1</v>
      </c>
      <c r="AI7" s="1014">
        <f t="shared" ref="AI7" si="4">(((AC7*AD7)+AF7+AG7)*AH7)*0.2</f>
        <v>33929.279999999999</v>
      </c>
      <c r="AJ7" s="1014">
        <f t="shared" ref="AJ7" si="5">((AC7*AD7)+AF7+AG7)*AH7+AI7</f>
        <v>203575.67999999999</v>
      </c>
      <c r="AK7" s="1015">
        <f>AJ7*1</f>
        <v>203575.67999999999</v>
      </c>
      <c r="AL7" s="1015">
        <f>ROUNDDOWN((AK7/480),2)</f>
        <v>424.11</v>
      </c>
      <c r="AM7" s="1015">
        <f>P7*S7</f>
        <v>480</v>
      </c>
      <c r="AN7" s="1015">
        <f>AL7*AM7</f>
        <v>203572.80000000002</v>
      </c>
    </row>
    <row r="8" spans="1:40" s="184" customFormat="1" ht="63.75" customHeight="1" x14ac:dyDescent="0.2">
      <c r="A8" s="1011">
        <v>2</v>
      </c>
      <c r="B8" s="1024" t="s">
        <v>587</v>
      </c>
      <c r="C8" s="1011">
        <v>1</v>
      </c>
      <c r="D8" s="1011">
        <v>8</v>
      </c>
      <c r="E8" s="1011" t="s">
        <v>574</v>
      </c>
      <c r="F8" s="1011" t="s">
        <v>574</v>
      </c>
      <c r="G8" s="1011">
        <v>0</v>
      </c>
      <c r="H8" s="1011">
        <v>0.1</v>
      </c>
      <c r="I8" s="1011" t="s">
        <v>574</v>
      </c>
      <c r="J8" s="1011" t="s">
        <v>574</v>
      </c>
      <c r="K8" s="1011" t="s">
        <v>574</v>
      </c>
      <c r="L8" s="1014">
        <v>28750</v>
      </c>
      <c r="M8" s="1012">
        <v>164.33</v>
      </c>
      <c r="N8" s="1012">
        <f>ROUND(L8/M8,2)</f>
        <v>174.95</v>
      </c>
      <c r="O8" s="1011">
        <v>1</v>
      </c>
      <c r="P8" s="1011">
        <v>8</v>
      </c>
      <c r="Q8" s="1011">
        <v>8</v>
      </c>
      <c r="R8" s="1025">
        <f>ROUND(N8*20%*Q8/P8,2)</f>
        <v>34.99</v>
      </c>
      <c r="S8" s="1011">
        <v>30</v>
      </c>
      <c r="T8" s="1027">
        <v>1</v>
      </c>
      <c r="U8" s="1025">
        <f>ROUND(N8*(T8/S8),2)</f>
        <v>5.83</v>
      </c>
      <c r="V8" s="1012">
        <v>0</v>
      </c>
      <c r="W8" s="1012">
        <f t="shared" ref="W8" si="6">ROUND((N8+R8+U8+V8)/12,2)</f>
        <v>17.98</v>
      </c>
      <c r="X8" s="1013">
        <v>0.30199999999999999</v>
      </c>
      <c r="Y8" s="1012">
        <f t="shared" ref="Y8" si="7">ROUND((N8+R8+U8+W8+V8)*X8,2)</f>
        <v>70.59</v>
      </c>
      <c r="Z8" s="1011">
        <v>1</v>
      </c>
      <c r="AA8" s="1011">
        <v>0</v>
      </c>
      <c r="AB8" s="1011">
        <v>1.1000000000000001</v>
      </c>
      <c r="AC8" s="1012">
        <f>(ROUND((N8+R8+U8++V8+W8+Y8)*AB8,2))</f>
        <v>334.77</v>
      </c>
      <c r="AD8" s="1027">
        <f>ROUND(S8*P8/O8,2)</f>
        <v>240</v>
      </c>
      <c r="AE8" s="1011">
        <v>1</v>
      </c>
      <c r="AF8" s="1014">
        <f t="shared" ref="AF8" si="8">(AC8*AD8)*0.2</f>
        <v>16068.96</v>
      </c>
      <c r="AG8" s="1014">
        <f t="shared" ref="AG8" si="9">ROUND((AC8*AD8+AF8)*0.05,2)</f>
        <v>4820.6899999999996</v>
      </c>
      <c r="AH8" s="1026">
        <v>1</v>
      </c>
      <c r="AI8" s="1014">
        <f t="shared" ref="AI8" si="10">(((AC8*AD8)+AF8+AG8)*AH8)*0.2</f>
        <v>20246.89</v>
      </c>
      <c r="AJ8" s="1014">
        <f t="shared" ref="AJ8" si="11">((AC8*AD8)+AF8+AG8)*AH8+AI8</f>
        <v>121481.33999999998</v>
      </c>
      <c r="AK8" s="1015">
        <f>AJ8*1</f>
        <v>121481.33999999998</v>
      </c>
      <c r="AL8" s="1015">
        <f>ROUNDDOWN((AK8/240),2)</f>
        <v>506.17</v>
      </c>
      <c r="AM8" s="1015">
        <f>P8*S8</f>
        <v>240</v>
      </c>
      <c r="AN8" s="1015">
        <f>AL8*AM8</f>
        <v>121480.8</v>
      </c>
    </row>
    <row r="9" spans="1:40" ht="15.75" x14ac:dyDescent="0.25">
      <c r="A9" s="1016"/>
      <c r="B9" s="1010" t="s">
        <v>445</v>
      </c>
      <c r="C9" s="1016">
        <v>1</v>
      </c>
      <c r="D9" s="1016"/>
      <c r="E9" s="13"/>
      <c r="F9" s="13"/>
      <c r="G9" s="13"/>
      <c r="H9" s="13"/>
      <c r="I9" s="13"/>
      <c r="J9" s="13"/>
      <c r="K9" s="13"/>
      <c r="L9" s="1017"/>
      <c r="M9" s="1018"/>
      <c r="N9" s="1018"/>
      <c r="O9" s="13"/>
      <c r="P9" s="13"/>
      <c r="Q9" s="13"/>
      <c r="R9" s="1018"/>
      <c r="S9" s="13"/>
      <c r="T9" s="13"/>
      <c r="U9" s="1018"/>
      <c r="V9" s="1018"/>
      <c r="W9" s="1018"/>
      <c r="X9" s="1019"/>
      <c r="Y9" s="1018"/>
      <c r="Z9" s="13"/>
      <c r="AA9" s="13"/>
      <c r="AB9" s="13"/>
      <c r="AC9" s="1020"/>
      <c r="AD9" s="1020"/>
      <c r="AE9" s="13"/>
      <c r="AF9" s="1021"/>
      <c r="AG9" s="1021"/>
      <c r="AH9" s="1021"/>
      <c r="AI9" s="1021"/>
      <c r="AJ9" s="1014"/>
      <c r="AK9" s="1015"/>
      <c r="AL9" s="1015" t="s">
        <v>575</v>
      </c>
      <c r="AM9" s="1015" t="s">
        <v>575</v>
      </c>
      <c r="AN9" s="1015">
        <f>AN7+AN8</f>
        <v>325053.60000000003</v>
      </c>
    </row>
    <row r="10" spans="1:40" ht="24" customHeight="1" x14ac:dyDescent="0.25">
      <c r="A10" s="1032" t="s">
        <v>576</v>
      </c>
      <c r="B10" s="1033"/>
      <c r="C10" s="1033"/>
      <c r="D10" s="1033"/>
      <c r="E10" s="1033"/>
      <c r="F10" s="1033"/>
      <c r="G10" s="1033"/>
      <c r="H10" s="1033"/>
      <c r="I10" s="1033"/>
      <c r="J10" s="1033"/>
      <c r="K10" s="1034"/>
      <c r="L10" s="1017"/>
      <c r="M10" s="1018"/>
      <c r="N10" s="1018"/>
      <c r="O10" s="13"/>
      <c r="P10" s="13"/>
      <c r="Q10" s="13"/>
      <c r="R10" s="1018"/>
      <c r="S10" s="13"/>
      <c r="T10" s="13"/>
      <c r="U10" s="1018"/>
      <c r="V10" s="1018"/>
      <c r="W10" s="1018"/>
      <c r="X10" s="1019"/>
      <c r="Y10" s="1018"/>
      <c r="Z10" s="13"/>
      <c r="AA10" s="13"/>
      <c r="AB10" s="13"/>
      <c r="AC10" s="1020"/>
      <c r="AD10" s="1020"/>
      <c r="AE10" s="13"/>
      <c r="AF10" s="1021"/>
      <c r="AG10" s="1021"/>
      <c r="AH10" s="1021"/>
      <c r="AI10" s="1021"/>
      <c r="AJ10" s="1014"/>
      <c r="AK10" s="1015"/>
      <c r="AL10" s="1015"/>
      <c r="AM10" s="1015" t="s">
        <v>575</v>
      </c>
      <c r="AN10" s="1015">
        <f>AN9</f>
        <v>325053.60000000003</v>
      </c>
    </row>
    <row r="12" spans="1:40" ht="36" customHeight="1" x14ac:dyDescent="0.2">
      <c r="B12" s="1028" t="s">
        <v>589</v>
      </c>
      <c r="C12" s="1028"/>
      <c r="D12" s="1028"/>
      <c r="E12" s="1028"/>
      <c r="F12" s="1028"/>
      <c r="G12" s="1028"/>
      <c r="H12" s="1028"/>
      <c r="I12" s="1028"/>
      <c r="J12" s="1028"/>
      <c r="K12" s="1028"/>
      <c r="L12" s="1028"/>
      <c r="M12" s="1028"/>
      <c r="N12" s="1028"/>
    </row>
  </sheetData>
  <mergeCells count="12">
    <mergeCell ref="B12:N12"/>
    <mergeCell ref="A2:AN2"/>
    <mergeCell ref="AM1:AN1"/>
    <mergeCell ref="A10:K10"/>
    <mergeCell ref="J4:K4"/>
    <mergeCell ref="B3:I3"/>
    <mergeCell ref="A4:A5"/>
    <mergeCell ref="B4:B5"/>
    <mergeCell ref="C4:C5"/>
    <mergeCell ref="D4:D5"/>
    <mergeCell ref="E4:I4"/>
    <mergeCell ref="Z4:AA4"/>
  </mergeCells>
  <phoneticPr fontId="56" type="noConversion"/>
  <pageMargins left="0.70866141732283472" right="0" top="0.39370078740157483" bottom="0.19685039370078741" header="0.51181102362204722" footer="0.51181102362204722"/>
  <pageSetup paperSize="9" scale="25" fitToWidth="4" fitToHeight="4" orientation="portrait" r:id="rId1"/>
  <headerFooter alignWithMargins="0"/>
  <colBreaks count="1" manualBreakCount="1">
    <brk id="22" min="2" max="41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J179"/>
  <sheetViews>
    <sheetView view="pageBreakPreview" zoomScale="70" zoomScaleNormal="70" zoomScaleSheetLayoutView="7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C9" sqref="C9"/>
    </sheetView>
  </sheetViews>
  <sheetFormatPr defaultColWidth="8.85546875" defaultRowHeight="15" x14ac:dyDescent="0.2"/>
  <cols>
    <col min="1" max="1" width="5.7109375" style="163" customWidth="1"/>
    <col min="2" max="2" width="45.28515625" style="162" customWidth="1"/>
    <col min="3" max="3" width="45.7109375" style="162" customWidth="1"/>
    <col min="4" max="4" width="10.28515625" style="994" customWidth="1"/>
    <col min="5" max="5" width="10.28515625" style="163" customWidth="1"/>
    <col min="6" max="6" width="16.85546875" style="163" customWidth="1"/>
    <col min="7" max="7" width="16.85546875" style="166" customWidth="1"/>
    <col min="8" max="8" width="20.28515625" style="166" customWidth="1"/>
    <col min="9" max="9" width="17.42578125" style="166" customWidth="1"/>
    <col min="10" max="10" width="19.5703125" style="166" customWidth="1"/>
    <col min="11" max="16384" width="8.85546875" style="166"/>
  </cols>
  <sheetData>
    <row r="1" spans="1:10" ht="30" customHeight="1" x14ac:dyDescent="0.25">
      <c r="B1" s="1049" t="s">
        <v>558</v>
      </c>
      <c r="C1" s="1049"/>
      <c r="D1" s="1049"/>
      <c r="E1" s="1049"/>
      <c r="F1" s="1050"/>
    </row>
    <row r="2" spans="1:10" s="1002" customFormat="1" ht="91.15" customHeight="1" x14ac:dyDescent="0.2">
      <c r="A2" s="1051" t="s">
        <v>460</v>
      </c>
      <c r="B2" s="1051" t="s">
        <v>461</v>
      </c>
      <c r="C2" s="1051" t="s">
        <v>165</v>
      </c>
      <c r="D2" s="1047" t="s">
        <v>540</v>
      </c>
      <c r="E2" s="1047" t="s">
        <v>206</v>
      </c>
      <c r="F2" s="1043" t="s">
        <v>462</v>
      </c>
      <c r="G2" s="1044"/>
      <c r="H2" s="1048" t="s">
        <v>556</v>
      </c>
      <c r="I2" s="1048"/>
      <c r="J2" s="1047" t="s">
        <v>557</v>
      </c>
    </row>
    <row r="3" spans="1:10" s="1002" customFormat="1" ht="133.9" customHeight="1" x14ac:dyDescent="0.2">
      <c r="A3" s="1051"/>
      <c r="B3" s="1051"/>
      <c r="C3" s="1051"/>
      <c r="D3" s="1047"/>
      <c r="E3" s="1047"/>
      <c r="F3" s="1001" t="s">
        <v>547</v>
      </c>
      <c r="G3" s="1001" t="s">
        <v>548</v>
      </c>
      <c r="H3" s="1001" t="s">
        <v>549</v>
      </c>
      <c r="I3" s="1001" t="s">
        <v>555</v>
      </c>
      <c r="J3" s="1047"/>
    </row>
    <row r="4" spans="1:10" s="1000" customFormat="1" ht="11.25" x14ac:dyDescent="0.2">
      <c r="A4" s="990">
        <v>1</v>
      </c>
      <c r="B4" s="990">
        <v>2</v>
      </c>
      <c r="C4" s="990">
        <v>3</v>
      </c>
      <c r="D4" s="990" t="s">
        <v>507</v>
      </c>
      <c r="E4" s="990" t="s">
        <v>508</v>
      </c>
      <c r="F4" s="990" t="s">
        <v>509</v>
      </c>
      <c r="G4" s="990" t="s">
        <v>510</v>
      </c>
      <c r="H4" s="990" t="s">
        <v>511</v>
      </c>
      <c r="I4" s="990" t="s">
        <v>512</v>
      </c>
      <c r="J4" s="990" t="s">
        <v>513</v>
      </c>
    </row>
    <row r="5" spans="1:10" s="184" customFormat="1" x14ac:dyDescent="0.2">
      <c r="A5" s="748">
        <v>1</v>
      </c>
      <c r="B5" s="992" t="s">
        <v>392</v>
      </c>
      <c r="C5" s="992" t="s">
        <v>470</v>
      </c>
      <c r="D5" s="993">
        <v>2</v>
      </c>
      <c r="E5" s="748">
        <v>1</v>
      </c>
      <c r="F5" s="748">
        <v>24</v>
      </c>
      <c r="G5" s="726"/>
      <c r="H5" s="726"/>
      <c r="I5" s="726"/>
      <c r="J5" s="208"/>
    </row>
    <row r="6" spans="1:10" s="184" customFormat="1" x14ac:dyDescent="0.2">
      <c r="A6" s="726">
        <v>2</v>
      </c>
      <c r="B6" s="462" t="s">
        <v>410</v>
      </c>
      <c r="C6" s="459" t="s">
        <v>228</v>
      </c>
      <c r="D6" s="995">
        <v>3</v>
      </c>
      <c r="E6" s="726">
        <v>1</v>
      </c>
      <c r="F6" s="726">
        <v>24</v>
      </c>
      <c r="G6" s="726"/>
      <c r="H6" s="726"/>
      <c r="I6" s="726"/>
      <c r="J6" s="208"/>
    </row>
    <row r="7" spans="1:10" s="184" customFormat="1" x14ac:dyDescent="0.2">
      <c r="A7" s="1045">
        <v>3</v>
      </c>
      <c r="B7" s="1046" t="s">
        <v>394</v>
      </c>
      <c r="C7" s="459" t="s">
        <v>141</v>
      </c>
      <c r="D7" s="995">
        <v>3</v>
      </c>
      <c r="E7" s="726">
        <v>1</v>
      </c>
      <c r="F7" s="726">
        <v>24</v>
      </c>
      <c r="G7" s="726"/>
      <c r="H7" s="726"/>
      <c r="I7" s="726"/>
      <c r="J7" s="208"/>
    </row>
    <row r="8" spans="1:10" s="184" customFormat="1" x14ac:dyDescent="0.2">
      <c r="A8" s="1045"/>
      <c r="B8" s="1046"/>
      <c r="C8" s="459" t="s">
        <v>140</v>
      </c>
      <c r="D8" s="995">
        <v>3</v>
      </c>
      <c r="E8" s="726">
        <v>1</v>
      </c>
      <c r="F8" s="726">
        <v>24</v>
      </c>
      <c r="G8" s="726"/>
      <c r="H8" s="726"/>
      <c r="I8" s="726"/>
      <c r="J8" s="208"/>
    </row>
    <row r="9" spans="1:10" s="184" customFormat="1" x14ac:dyDescent="0.2">
      <c r="A9" s="1045"/>
      <c r="B9" s="1046"/>
      <c r="C9" s="459" t="s">
        <v>138</v>
      </c>
      <c r="D9" s="995">
        <v>3</v>
      </c>
      <c r="E9" s="726">
        <v>1</v>
      </c>
      <c r="F9" s="726">
        <v>24</v>
      </c>
      <c r="G9" s="726"/>
      <c r="H9" s="726"/>
      <c r="I9" s="726"/>
      <c r="J9" s="208"/>
    </row>
    <row r="10" spans="1:10" s="184" customFormat="1" x14ac:dyDescent="0.2">
      <c r="A10" s="1045">
        <v>4</v>
      </c>
      <c r="B10" s="1046" t="s">
        <v>393</v>
      </c>
      <c r="C10" s="459" t="s">
        <v>136</v>
      </c>
      <c r="D10" s="995">
        <v>3</v>
      </c>
      <c r="E10" s="726">
        <v>1</v>
      </c>
      <c r="F10" s="726">
        <v>24</v>
      </c>
      <c r="G10" s="726"/>
      <c r="H10" s="726"/>
      <c r="I10" s="726"/>
      <c r="J10" s="208"/>
    </row>
    <row r="11" spans="1:10" s="184" customFormat="1" x14ac:dyDescent="0.2">
      <c r="A11" s="1045"/>
      <c r="B11" s="1046"/>
      <c r="C11" s="459" t="s">
        <v>135</v>
      </c>
      <c r="D11" s="995">
        <v>3</v>
      </c>
      <c r="E11" s="726">
        <v>1</v>
      </c>
      <c r="F11" s="726">
        <v>24</v>
      </c>
      <c r="G11" s="726"/>
      <c r="H11" s="726"/>
      <c r="I11" s="726"/>
      <c r="J11" s="208"/>
    </row>
    <row r="12" spans="1:10" s="184" customFormat="1" x14ac:dyDescent="0.2">
      <c r="A12" s="1045">
        <v>5</v>
      </c>
      <c r="B12" s="1046" t="s">
        <v>395</v>
      </c>
      <c r="C12" s="459" t="s">
        <v>133</v>
      </c>
      <c r="D12" s="995">
        <v>3</v>
      </c>
      <c r="E12" s="726">
        <v>1</v>
      </c>
      <c r="F12" s="726">
        <v>24</v>
      </c>
      <c r="G12" s="726"/>
      <c r="H12" s="726"/>
      <c r="I12" s="726"/>
      <c r="J12" s="208"/>
    </row>
    <row r="13" spans="1:10" s="184" customFormat="1" x14ac:dyDescent="0.2">
      <c r="A13" s="1045"/>
      <c r="B13" s="1046"/>
      <c r="C13" s="459" t="s">
        <v>132</v>
      </c>
      <c r="D13" s="995">
        <v>3</v>
      </c>
      <c r="E13" s="726">
        <v>1</v>
      </c>
      <c r="F13" s="726">
        <v>24</v>
      </c>
      <c r="G13" s="726"/>
      <c r="H13" s="726"/>
      <c r="I13" s="726"/>
      <c r="J13" s="208"/>
    </row>
    <row r="14" spans="1:10" s="184" customFormat="1" x14ac:dyDescent="0.2">
      <c r="A14" s="1045">
        <v>6</v>
      </c>
      <c r="B14" s="1046" t="s">
        <v>396</v>
      </c>
      <c r="C14" s="459" t="s">
        <v>126</v>
      </c>
      <c r="D14" s="995">
        <v>4</v>
      </c>
      <c r="E14" s="726">
        <v>1</v>
      </c>
      <c r="F14" s="726">
        <v>24</v>
      </c>
      <c r="G14" s="726"/>
      <c r="H14" s="726"/>
      <c r="I14" s="726"/>
      <c r="J14" s="208"/>
    </row>
    <row r="15" spans="1:10" s="991" customFormat="1" x14ac:dyDescent="0.2">
      <c r="A15" s="1045"/>
      <c r="B15" s="1046"/>
      <c r="C15" s="996" t="s">
        <v>367</v>
      </c>
      <c r="D15" s="997"/>
      <c r="E15" s="998">
        <v>1</v>
      </c>
      <c r="F15" s="998">
        <v>24</v>
      </c>
      <c r="G15" s="998"/>
      <c r="H15" s="998"/>
      <c r="I15" s="998"/>
      <c r="J15" s="1004"/>
    </row>
    <row r="16" spans="1:10" s="184" customFormat="1" x14ac:dyDescent="0.2">
      <c r="A16" s="726">
        <v>7</v>
      </c>
      <c r="B16" s="458" t="s">
        <v>397</v>
      </c>
      <c r="C16" s="459" t="s">
        <v>122</v>
      </c>
      <c r="D16" s="995">
        <v>3</v>
      </c>
      <c r="E16" s="726">
        <v>1</v>
      </c>
      <c r="F16" s="726">
        <v>24</v>
      </c>
      <c r="G16" s="726"/>
      <c r="H16" s="726"/>
      <c r="I16" s="726"/>
      <c r="J16" s="208"/>
    </row>
    <row r="17" spans="1:10" s="184" customFormat="1" x14ac:dyDescent="0.2">
      <c r="A17" s="1045">
        <v>8</v>
      </c>
      <c r="B17" s="1046" t="s">
        <v>131</v>
      </c>
      <c r="C17" s="459" t="s">
        <v>130</v>
      </c>
      <c r="D17" s="995">
        <v>3</v>
      </c>
      <c r="E17" s="726">
        <v>1</v>
      </c>
      <c r="F17" s="726">
        <v>24</v>
      </c>
      <c r="G17" s="726"/>
      <c r="H17" s="726"/>
      <c r="I17" s="726"/>
      <c r="J17" s="208"/>
    </row>
    <row r="18" spans="1:10" s="184" customFormat="1" x14ac:dyDescent="0.2">
      <c r="A18" s="1045"/>
      <c r="B18" s="1046"/>
      <c r="C18" s="459" t="s">
        <v>129</v>
      </c>
      <c r="D18" s="995">
        <v>3</v>
      </c>
      <c r="E18" s="726">
        <v>1</v>
      </c>
      <c r="F18" s="726">
        <v>24</v>
      </c>
      <c r="G18" s="726"/>
      <c r="H18" s="726"/>
      <c r="I18" s="726"/>
      <c r="J18" s="208"/>
    </row>
    <row r="19" spans="1:10" s="184" customFormat="1" x14ac:dyDescent="0.2">
      <c r="A19" s="1045"/>
      <c r="B19" s="1046"/>
      <c r="C19" s="459" t="s">
        <v>128</v>
      </c>
      <c r="D19" s="995">
        <v>3</v>
      </c>
      <c r="E19" s="726">
        <v>1</v>
      </c>
      <c r="F19" s="726">
        <v>24</v>
      </c>
      <c r="G19" s="726"/>
      <c r="H19" s="726"/>
      <c r="I19" s="726"/>
      <c r="J19" s="208"/>
    </row>
    <row r="20" spans="1:10" s="184" customFormat="1" x14ac:dyDescent="0.2">
      <c r="A20" s="1041">
        <v>9</v>
      </c>
      <c r="B20" s="1042" t="s">
        <v>407</v>
      </c>
      <c r="C20" s="459" t="s">
        <v>385</v>
      </c>
      <c r="D20" s="995">
        <v>2</v>
      </c>
      <c r="E20" s="726">
        <v>1</v>
      </c>
      <c r="F20" s="726">
        <v>24</v>
      </c>
      <c r="G20" s="726"/>
      <c r="H20" s="726"/>
      <c r="I20" s="726"/>
      <c r="J20" s="208"/>
    </row>
    <row r="21" spans="1:10" s="184" customFormat="1" x14ac:dyDescent="0.2">
      <c r="A21" s="1041"/>
      <c r="B21" s="1042"/>
      <c r="C21" s="459" t="s">
        <v>383</v>
      </c>
      <c r="D21" s="995">
        <v>2</v>
      </c>
      <c r="E21" s="726">
        <v>1</v>
      </c>
      <c r="F21" s="726">
        <v>24</v>
      </c>
      <c r="G21" s="726"/>
      <c r="H21" s="726"/>
      <c r="I21" s="726"/>
      <c r="J21" s="208"/>
    </row>
    <row r="22" spans="1:10" s="184" customFormat="1" x14ac:dyDescent="0.2">
      <c r="A22" s="1041">
        <v>10</v>
      </c>
      <c r="B22" s="1042" t="s">
        <v>408</v>
      </c>
      <c r="C22" s="459" t="s">
        <v>412</v>
      </c>
      <c r="D22" s="995">
        <v>3</v>
      </c>
      <c r="E22" s="726">
        <v>1</v>
      </c>
      <c r="F22" s="726">
        <v>24</v>
      </c>
      <c r="G22" s="726"/>
      <c r="H22" s="726"/>
      <c r="I22" s="726"/>
      <c r="J22" s="208"/>
    </row>
    <row r="23" spans="1:10" s="184" customFormat="1" x14ac:dyDescent="0.2">
      <c r="A23" s="1041"/>
      <c r="B23" s="1042"/>
      <c r="C23" s="459" t="s">
        <v>541</v>
      </c>
      <c r="D23" s="995"/>
      <c r="E23" s="726">
        <v>1</v>
      </c>
      <c r="F23" s="726">
        <v>24</v>
      </c>
      <c r="G23" s="726"/>
      <c r="H23" s="726"/>
      <c r="I23" s="726"/>
      <c r="J23" s="208"/>
    </row>
    <row r="24" spans="1:10" s="184" customFormat="1" x14ac:dyDescent="0.2">
      <c r="A24" s="1041"/>
      <c r="B24" s="1042"/>
      <c r="C24" s="459" t="s">
        <v>542</v>
      </c>
      <c r="D24" s="995"/>
      <c r="E24" s="726">
        <v>1</v>
      </c>
      <c r="F24" s="726">
        <v>24</v>
      </c>
      <c r="G24" s="726"/>
      <c r="H24" s="726"/>
      <c r="I24" s="726"/>
      <c r="J24" s="208"/>
    </row>
    <row r="25" spans="1:10" s="184" customFormat="1" x14ac:dyDescent="0.2">
      <c r="A25" s="1041">
        <v>11</v>
      </c>
      <c r="B25" s="1042" t="s">
        <v>409</v>
      </c>
      <c r="C25" s="459" t="s">
        <v>413</v>
      </c>
      <c r="D25" s="995">
        <v>3</v>
      </c>
      <c r="E25" s="726">
        <v>1</v>
      </c>
      <c r="F25" s="726">
        <v>24</v>
      </c>
      <c r="G25" s="726"/>
      <c r="H25" s="726"/>
      <c r="I25" s="726"/>
      <c r="J25" s="208"/>
    </row>
    <row r="26" spans="1:10" s="184" customFormat="1" x14ac:dyDescent="0.2">
      <c r="A26" s="1041"/>
      <c r="B26" s="1042"/>
      <c r="C26" s="459" t="s">
        <v>454</v>
      </c>
      <c r="D26" s="995">
        <v>2</v>
      </c>
      <c r="E26" s="726">
        <v>1</v>
      </c>
      <c r="F26" s="726">
        <v>24</v>
      </c>
      <c r="G26" s="726"/>
      <c r="H26" s="726"/>
      <c r="I26" s="726"/>
      <c r="J26" s="208"/>
    </row>
    <row r="27" spans="1:10" s="184" customFormat="1" x14ac:dyDescent="0.2">
      <c r="A27" s="726">
        <v>12</v>
      </c>
      <c r="B27" s="459" t="s">
        <v>405</v>
      </c>
      <c r="C27" s="459" t="s">
        <v>381</v>
      </c>
      <c r="D27" s="995">
        <v>3</v>
      </c>
      <c r="E27" s="726">
        <v>1</v>
      </c>
      <c r="F27" s="726">
        <v>24</v>
      </c>
      <c r="G27" s="726"/>
      <c r="H27" s="726"/>
      <c r="I27" s="726"/>
      <c r="J27" s="208"/>
    </row>
    <row r="28" spans="1:10" s="184" customFormat="1" x14ac:dyDescent="0.2">
      <c r="A28" s="1041">
        <v>13</v>
      </c>
      <c r="B28" s="1042" t="s">
        <v>406</v>
      </c>
      <c r="C28" s="459" t="s">
        <v>382</v>
      </c>
      <c r="D28" s="995">
        <v>3</v>
      </c>
      <c r="E28" s="726">
        <v>1</v>
      </c>
      <c r="F28" s="726">
        <v>24</v>
      </c>
      <c r="G28" s="726"/>
      <c r="H28" s="726"/>
      <c r="I28" s="726"/>
      <c r="J28" s="208"/>
    </row>
    <row r="29" spans="1:10" s="184" customFormat="1" x14ac:dyDescent="0.2">
      <c r="A29" s="1041"/>
      <c r="B29" s="1042"/>
      <c r="C29" s="459" t="s">
        <v>452</v>
      </c>
      <c r="D29" s="995">
        <v>3</v>
      </c>
      <c r="E29" s="726">
        <v>1</v>
      </c>
      <c r="F29" s="726">
        <v>24</v>
      </c>
      <c r="G29" s="726"/>
      <c r="H29" s="726"/>
      <c r="I29" s="726"/>
      <c r="J29" s="208"/>
    </row>
    <row r="30" spans="1:10" s="184" customFormat="1" ht="30" x14ac:dyDescent="0.2">
      <c r="A30" s="1041"/>
      <c r="B30" s="1042"/>
      <c r="C30" s="459" t="s">
        <v>543</v>
      </c>
      <c r="D30" s="995"/>
      <c r="E30" s="726">
        <v>1</v>
      </c>
      <c r="F30" s="726">
        <v>24</v>
      </c>
      <c r="G30" s="726"/>
      <c r="H30" s="726"/>
      <c r="I30" s="726"/>
      <c r="J30" s="208"/>
    </row>
    <row r="31" spans="1:10" s="184" customFormat="1" x14ac:dyDescent="0.2">
      <c r="A31" s="1041"/>
      <c r="B31" s="1042"/>
      <c r="C31" s="459" t="s">
        <v>544</v>
      </c>
      <c r="D31" s="995"/>
      <c r="E31" s="726">
        <v>1</v>
      </c>
      <c r="F31" s="726">
        <v>24</v>
      </c>
      <c r="G31" s="726"/>
      <c r="H31" s="726"/>
      <c r="I31" s="726"/>
      <c r="J31" s="208"/>
    </row>
    <row r="32" spans="1:10" s="184" customFormat="1" x14ac:dyDescent="0.2">
      <c r="A32" s="726">
        <v>14</v>
      </c>
      <c r="B32" s="459" t="s">
        <v>411</v>
      </c>
      <c r="C32" s="459" t="s">
        <v>414</v>
      </c>
      <c r="D32" s="995"/>
      <c r="E32" s="726">
        <v>1</v>
      </c>
      <c r="F32" s="726">
        <v>24</v>
      </c>
      <c r="G32" s="726"/>
      <c r="H32" s="726"/>
      <c r="I32" s="726"/>
      <c r="J32" s="208"/>
    </row>
    <row r="33" spans="1:10" s="184" customFormat="1" x14ac:dyDescent="0.2">
      <c r="A33" s="726">
        <v>15</v>
      </c>
      <c r="B33" s="459" t="s">
        <v>99</v>
      </c>
      <c r="C33" s="459" t="s">
        <v>98</v>
      </c>
      <c r="D33" s="995">
        <v>3</v>
      </c>
      <c r="E33" s="726">
        <v>1</v>
      </c>
      <c r="F33" s="726">
        <v>24</v>
      </c>
      <c r="G33" s="726"/>
      <c r="H33" s="726"/>
      <c r="I33" s="726"/>
      <c r="J33" s="208"/>
    </row>
    <row r="34" spans="1:10" s="184" customFormat="1" x14ac:dyDescent="0.2">
      <c r="A34" s="1045">
        <v>16</v>
      </c>
      <c r="B34" s="1046" t="s">
        <v>398</v>
      </c>
      <c r="C34" s="459" t="s">
        <v>120</v>
      </c>
      <c r="D34" s="995">
        <v>3</v>
      </c>
      <c r="E34" s="726">
        <v>1</v>
      </c>
      <c r="F34" s="726">
        <v>24</v>
      </c>
      <c r="G34" s="726"/>
      <c r="H34" s="726"/>
      <c r="I34" s="726"/>
      <c r="J34" s="208"/>
    </row>
    <row r="35" spans="1:10" s="184" customFormat="1" ht="30" x14ac:dyDescent="0.2">
      <c r="A35" s="1045"/>
      <c r="B35" s="1046"/>
      <c r="C35" s="459" t="s">
        <v>368</v>
      </c>
      <c r="D35" s="995">
        <v>3</v>
      </c>
      <c r="E35" s="726">
        <v>1</v>
      </c>
      <c r="F35" s="726">
        <v>24</v>
      </c>
      <c r="G35" s="726"/>
      <c r="H35" s="726"/>
      <c r="I35" s="726"/>
      <c r="J35" s="208"/>
    </row>
    <row r="36" spans="1:10" s="184" customFormat="1" ht="30" x14ac:dyDescent="0.2">
      <c r="A36" s="1045"/>
      <c r="B36" s="1046"/>
      <c r="C36" s="459" t="s">
        <v>369</v>
      </c>
      <c r="D36" s="995">
        <v>3</v>
      </c>
      <c r="E36" s="726">
        <v>1</v>
      </c>
      <c r="F36" s="726">
        <v>24</v>
      </c>
      <c r="G36" s="726"/>
      <c r="H36" s="726"/>
      <c r="I36" s="726"/>
      <c r="J36" s="208"/>
    </row>
    <row r="37" spans="1:10" s="184" customFormat="1" x14ac:dyDescent="0.2">
      <c r="A37" s="1045">
        <v>17</v>
      </c>
      <c r="B37" s="1046" t="s">
        <v>145</v>
      </c>
      <c r="C37" s="459" t="s">
        <v>144</v>
      </c>
      <c r="D37" s="995">
        <v>3</v>
      </c>
      <c r="E37" s="726">
        <v>1</v>
      </c>
      <c r="F37" s="726">
        <v>24</v>
      </c>
      <c r="G37" s="726"/>
      <c r="H37" s="726"/>
      <c r="I37" s="726"/>
      <c r="J37" s="208"/>
    </row>
    <row r="38" spans="1:10" s="184" customFormat="1" x14ac:dyDescent="0.2">
      <c r="A38" s="1045"/>
      <c r="B38" s="1046"/>
      <c r="C38" s="459" t="s">
        <v>143</v>
      </c>
      <c r="D38" s="995">
        <v>3</v>
      </c>
      <c r="E38" s="726">
        <v>1</v>
      </c>
      <c r="F38" s="726">
        <v>24</v>
      </c>
      <c r="G38" s="726"/>
      <c r="H38" s="726"/>
      <c r="I38" s="726"/>
      <c r="J38" s="208"/>
    </row>
    <row r="39" spans="1:10" s="184" customFormat="1" x14ac:dyDescent="0.2">
      <c r="A39" s="1045">
        <v>18</v>
      </c>
      <c r="B39" s="1046" t="s">
        <v>399</v>
      </c>
      <c r="C39" s="459" t="s">
        <v>117</v>
      </c>
      <c r="D39" s="995">
        <v>4</v>
      </c>
      <c r="E39" s="726">
        <v>1</v>
      </c>
      <c r="F39" s="726">
        <v>24</v>
      </c>
      <c r="G39" s="726"/>
      <c r="H39" s="726"/>
      <c r="I39" s="726"/>
      <c r="J39" s="208"/>
    </row>
    <row r="40" spans="1:10" s="184" customFormat="1" x14ac:dyDescent="0.2">
      <c r="A40" s="1045"/>
      <c r="B40" s="1046"/>
      <c r="C40" s="459" t="s">
        <v>370</v>
      </c>
      <c r="D40" s="995">
        <v>3</v>
      </c>
      <c r="E40" s="726">
        <v>1</v>
      </c>
      <c r="F40" s="726">
        <v>24</v>
      </c>
      <c r="G40" s="726"/>
      <c r="H40" s="726"/>
      <c r="I40" s="726"/>
      <c r="J40" s="208"/>
    </row>
    <row r="41" spans="1:10" s="184" customFormat="1" x14ac:dyDescent="0.2">
      <c r="A41" s="1045"/>
      <c r="B41" s="1046"/>
      <c r="C41" s="459" t="s">
        <v>371</v>
      </c>
      <c r="D41" s="995">
        <v>3</v>
      </c>
      <c r="E41" s="726">
        <v>1</v>
      </c>
      <c r="F41" s="726">
        <v>24</v>
      </c>
      <c r="G41" s="726"/>
      <c r="H41" s="726"/>
      <c r="I41" s="726"/>
      <c r="J41" s="208"/>
    </row>
    <row r="42" spans="1:10" s="184" customFormat="1" x14ac:dyDescent="0.2">
      <c r="A42" s="1045"/>
      <c r="B42" s="1046"/>
      <c r="C42" s="459" t="s">
        <v>373</v>
      </c>
      <c r="D42" s="995">
        <v>3</v>
      </c>
      <c r="E42" s="726">
        <v>1</v>
      </c>
      <c r="F42" s="726">
        <v>24</v>
      </c>
      <c r="G42" s="726"/>
      <c r="H42" s="726"/>
      <c r="I42" s="726"/>
      <c r="J42" s="208"/>
    </row>
    <row r="43" spans="1:10" s="184" customFormat="1" x14ac:dyDescent="0.2">
      <c r="A43" s="1045"/>
      <c r="B43" s="1046"/>
      <c r="C43" s="459" t="s">
        <v>372</v>
      </c>
      <c r="D43" s="995">
        <v>3</v>
      </c>
      <c r="E43" s="726">
        <v>1</v>
      </c>
      <c r="F43" s="726">
        <v>24</v>
      </c>
      <c r="G43" s="726"/>
      <c r="H43" s="726"/>
      <c r="I43" s="726"/>
      <c r="J43" s="208"/>
    </row>
    <row r="44" spans="1:10" s="184" customFormat="1" x14ac:dyDescent="0.2">
      <c r="A44" s="1045">
        <v>19</v>
      </c>
      <c r="B44" s="1046" t="s">
        <v>400</v>
      </c>
      <c r="C44" s="459" t="s">
        <v>113</v>
      </c>
      <c r="D44" s="995">
        <v>3</v>
      </c>
      <c r="E44" s="726">
        <v>1</v>
      </c>
      <c r="F44" s="726">
        <v>24</v>
      </c>
      <c r="G44" s="726"/>
      <c r="H44" s="726"/>
      <c r="I44" s="726"/>
      <c r="J44" s="208"/>
    </row>
    <row r="45" spans="1:10" s="184" customFormat="1" x14ac:dyDescent="0.2">
      <c r="A45" s="1045"/>
      <c r="B45" s="1046"/>
      <c r="C45" s="459" t="s">
        <v>112</v>
      </c>
      <c r="D45" s="995">
        <v>3</v>
      </c>
      <c r="E45" s="726">
        <v>1</v>
      </c>
      <c r="F45" s="726">
        <v>24</v>
      </c>
      <c r="G45" s="726"/>
      <c r="H45" s="726"/>
      <c r="I45" s="726"/>
      <c r="J45" s="208"/>
    </row>
    <row r="46" spans="1:10" s="184" customFormat="1" x14ac:dyDescent="0.2">
      <c r="A46" s="726">
        <v>20</v>
      </c>
      <c r="B46" s="459" t="s">
        <v>402</v>
      </c>
      <c r="C46" s="459" t="s">
        <v>374</v>
      </c>
      <c r="D46" s="995">
        <v>3</v>
      </c>
      <c r="E46" s="726">
        <v>1</v>
      </c>
      <c r="F46" s="726">
        <v>24</v>
      </c>
      <c r="G46" s="726"/>
      <c r="H46" s="726"/>
      <c r="I46" s="726"/>
      <c r="J46" s="208"/>
    </row>
    <row r="47" spans="1:10" s="184" customFormat="1" x14ac:dyDescent="0.2">
      <c r="A47" s="1041">
        <v>21</v>
      </c>
      <c r="B47" s="1042" t="s">
        <v>403</v>
      </c>
      <c r="C47" s="459" t="s">
        <v>375</v>
      </c>
      <c r="D47" s="995">
        <v>3</v>
      </c>
      <c r="E47" s="726">
        <v>1</v>
      </c>
      <c r="F47" s="726">
        <v>24</v>
      </c>
      <c r="G47" s="726"/>
      <c r="H47" s="726"/>
      <c r="I47" s="726"/>
      <c r="J47" s="208"/>
    </row>
    <row r="48" spans="1:10" s="184" customFormat="1" x14ac:dyDescent="0.2">
      <c r="A48" s="1041"/>
      <c r="B48" s="1042"/>
      <c r="C48" s="459" t="s">
        <v>378</v>
      </c>
      <c r="D48" s="995">
        <v>2</v>
      </c>
      <c r="E48" s="726">
        <v>1</v>
      </c>
      <c r="F48" s="726">
        <v>24</v>
      </c>
      <c r="G48" s="726"/>
      <c r="H48" s="726"/>
      <c r="I48" s="726"/>
      <c r="J48" s="208"/>
    </row>
    <row r="49" spans="1:10" s="184" customFormat="1" x14ac:dyDescent="0.2">
      <c r="A49" s="726">
        <v>22</v>
      </c>
      <c r="B49" s="459" t="s">
        <v>404</v>
      </c>
      <c r="C49" s="459" t="s">
        <v>376</v>
      </c>
      <c r="D49" s="995">
        <v>2</v>
      </c>
      <c r="E49" s="726">
        <v>1</v>
      </c>
      <c r="F49" s="726">
        <v>24</v>
      </c>
      <c r="G49" s="726"/>
      <c r="H49" s="726"/>
      <c r="I49" s="726"/>
      <c r="J49" s="208"/>
    </row>
    <row r="50" spans="1:10" s="184" customFormat="1" ht="30" x14ac:dyDescent="0.2">
      <c r="A50" s="1041">
        <v>23</v>
      </c>
      <c r="B50" s="1042" t="s">
        <v>102</v>
      </c>
      <c r="C50" s="459" t="s">
        <v>377</v>
      </c>
      <c r="D50" s="995">
        <v>2</v>
      </c>
      <c r="E50" s="726">
        <v>1</v>
      </c>
      <c r="F50" s="726">
        <v>24</v>
      </c>
      <c r="G50" s="726"/>
      <c r="H50" s="726"/>
      <c r="I50" s="726"/>
      <c r="J50" s="208"/>
    </row>
    <row r="51" spans="1:10" s="184" customFormat="1" ht="30" x14ac:dyDescent="0.2">
      <c r="A51" s="1041"/>
      <c r="B51" s="1042"/>
      <c r="C51" s="459" t="s">
        <v>379</v>
      </c>
      <c r="D51" s="995">
        <v>2</v>
      </c>
      <c r="E51" s="726">
        <v>1</v>
      </c>
      <c r="F51" s="726">
        <v>24</v>
      </c>
      <c r="G51" s="726"/>
      <c r="H51" s="726"/>
      <c r="I51" s="726"/>
      <c r="J51" s="208"/>
    </row>
    <row r="52" spans="1:10" s="184" customFormat="1" x14ac:dyDescent="0.2">
      <c r="A52" s="1045">
        <v>24</v>
      </c>
      <c r="B52" s="1046" t="s">
        <v>401</v>
      </c>
      <c r="C52" s="459" t="s">
        <v>108</v>
      </c>
      <c r="D52" s="995">
        <v>3</v>
      </c>
      <c r="E52" s="726">
        <v>1</v>
      </c>
      <c r="F52" s="726">
        <v>24</v>
      </c>
      <c r="G52" s="726"/>
      <c r="H52" s="726"/>
      <c r="I52" s="726"/>
      <c r="J52" s="208"/>
    </row>
    <row r="53" spans="1:10" s="184" customFormat="1" x14ac:dyDescent="0.2">
      <c r="A53" s="1045"/>
      <c r="B53" s="1046"/>
      <c r="C53" s="459" t="s">
        <v>107</v>
      </c>
      <c r="D53" s="995">
        <v>3</v>
      </c>
      <c r="E53" s="726">
        <v>1</v>
      </c>
      <c r="F53" s="726">
        <v>24</v>
      </c>
      <c r="G53" s="726"/>
      <c r="H53" s="726"/>
      <c r="I53" s="726"/>
      <c r="J53" s="208"/>
    </row>
    <row r="54" spans="1:10" s="184" customFormat="1" x14ac:dyDescent="0.2">
      <c r="A54" s="726">
        <v>25</v>
      </c>
      <c r="B54" s="459" t="s">
        <v>111</v>
      </c>
      <c r="C54" s="459" t="s">
        <v>110</v>
      </c>
      <c r="D54" s="995">
        <v>3</v>
      </c>
      <c r="E54" s="726">
        <v>1</v>
      </c>
      <c r="F54" s="726">
        <v>24</v>
      </c>
      <c r="G54" s="726"/>
      <c r="H54" s="726"/>
      <c r="I54" s="726"/>
      <c r="J54" s="208"/>
    </row>
    <row r="55" spans="1:10" s="184" customFormat="1" x14ac:dyDescent="0.2">
      <c r="A55" s="726">
        <v>26</v>
      </c>
      <c r="B55" s="462" t="s">
        <v>77</v>
      </c>
      <c r="C55" s="986" t="s">
        <v>174</v>
      </c>
      <c r="D55" s="995">
        <v>2</v>
      </c>
      <c r="E55" s="726">
        <v>1</v>
      </c>
      <c r="F55" s="726">
        <v>24</v>
      </c>
      <c r="G55" s="726"/>
      <c r="H55" s="726"/>
      <c r="I55" s="726"/>
      <c r="J55" s="208"/>
    </row>
    <row r="56" spans="1:10" s="184" customFormat="1" x14ac:dyDescent="0.2">
      <c r="A56" s="726">
        <v>27</v>
      </c>
      <c r="B56" s="462" t="s">
        <v>95</v>
      </c>
      <c r="C56" s="986" t="s">
        <v>94</v>
      </c>
      <c r="D56" s="995">
        <v>2</v>
      </c>
      <c r="E56" s="726">
        <v>1</v>
      </c>
      <c r="F56" s="726">
        <v>24</v>
      </c>
      <c r="G56" s="726"/>
      <c r="H56" s="726"/>
      <c r="I56" s="726"/>
      <c r="J56" s="208"/>
    </row>
    <row r="57" spans="1:10" s="184" customFormat="1" x14ac:dyDescent="0.2">
      <c r="A57" s="1041">
        <v>28</v>
      </c>
      <c r="B57" s="1042" t="s">
        <v>93</v>
      </c>
      <c r="C57" s="986" t="s">
        <v>92</v>
      </c>
      <c r="D57" s="995">
        <v>2</v>
      </c>
      <c r="E57" s="726">
        <v>1</v>
      </c>
      <c r="F57" s="726">
        <v>24</v>
      </c>
      <c r="G57" s="726"/>
      <c r="H57" s="726"/>
      <c r="I57" s="726"/>
      <c r="J57" s="208"/>
    </row>
    <row r="58" spans="1:10" s="991" customFormat="1" x14ac:dyDescent="0.2">
      <c r="A58" s="1041"/>
      <c r="B58" s="1042"/>
      <c r="C58" s="999" t="s">
        <v>554</v>
      </c>
      <c r="D58" s="997"/>
      <c r="E58" s="998">
        <v>1</v>
      </c>
      <c r="F58" s="998">
        <v>24</v>
      </c>
      <c r="G58" s="998"/>
      <c r="H58" s="998"/>
      <c r="I58" s="998"/>
      <c r="J58" s="1004"/>
    </row>
    <row r="59" spans="1:10" s="184" customFormat="1" x14ac:dyDescent="0.2">
      <c r="A59" s="1041">
        <v>29</v>
      </c>
      <c r="B59" s="1042" t="s">
        <v>91</v>
      </c>
      <c r="C59" s="986" t="s">
        <v>179</v>
      </c>
      <c r="D59" s="995">
        <v>2</v>
      </c>
      <c r="E59" s="726">
        <v>1</v>
      </c>
      <c r="F59" s="726">
        <v>24</v>
      </c>
      <c r="G59" s="726"/>
      <c r="H59" s="726"/>
      <c r="I59" s="726"/>
      <c r="J59" s="208"/>
    </row>
    <row r="60" spans="1:10" s="184" customFormat="1" x14ac:dyDescent="0.2">
      <c r="A60" s="1041"/>
      <c r="B60" s="1042"/>
      <c r="C60" s="459" t="s">
        <v>284</v>
      </c>
      <c r="D60" s="995"/>
      <c r="E60" s="726">
        <v>1</v>
      </c>
      <c r="F60" s="726">
        <v>24</v>
      </c>
      <c r="G60" s="726"/>
      <c r="H60" s="726"/>
      <c r="I60" s="726"/>
      <c r="J60" s="208"/>
    </row>
    <row r="61" spans="1:10" s="184" customFormat="1" x14ac:dyDescent="0.2">
      <c r="A61" s="726">
        <v>30</v>
      </c>
      <c r="B61" s="462" t="s">
        <v>90</v>
      </c>
      <c r="C61" s="986" t="s">
        <v>180</v>
      </c>
      <c r="D61" s="995">
        <v>3</v>
      </c>
      <c r="E61" s="726">
        <v>1</v>
      </c>
      <c r="F61" s="726">
        <v>24</v>
      </c>
      <c r="G61" s="726"/>
      <c r="H61" s="726"/>
      <c r="I61" s="726"/>
      <c r="J61" s="208"/>
    </row>
    <row r="62" spans="1:10" s="184" customFormat="1" x14ac:dyDescent="0.2">
      <c r="A62" s="726">
        <v>31</v>
      </c>
      <c r="B62" s="462" t="s">
        <v>89</v>
      </c>
      <c r="C62" s="986" t="s">
        <v>88</v>
      </c>
      <c r="D62" s="995">
        <v>2</v>
      </c>
      <c r="E62" s="726">
        <v>1</v>
      </c>
      <c r="F62" s="726">
        <v>24</v>
      </c>
      <c r="G62" s="726"/>
      <c r="H62" s="726"/>
      <c r="I62" s="726"/>
      <c r="J62" s="208"/>
    </row>
    <row r="63" spans="1:10" s="184" customFormat="1" x14ac:dyDescent="0.2">
      <c r="A63" s="1041">
        <v>32</v>
      </c>
      <c r="B63" s="1042" t="s">
        <v>87</v>
      </c>
      <c r="C63" s="986" t="s">
        <v>85</v>
      </c>
      <c r="D63" s="995">
        <v>3</v>
      </c>
      <c r="E63" s="988">
        <v>1</v>
      </c>
      <c r="F63" s="988">
        <v>24</v>
      </c>
      <c r="G63" s="726"/>
      <c r="H63" s="726"/>
      <c r="I63" s="726"/>
      <c r="J63" s="208"/>
    </row>
    <row r="64" spans="1:10" s="184" customFormat="1" x14ac:dyDescent="0.2">
      <c r="A64" s="1041"/>
      <c r="B64" s="1042"/>
      <c r="C64" s="986" t="s">
        <v>239</v>
      </c>
      <c r="D64" s="995">
        <v>3</v>
      </c>
      <c r="E64" s="988">
        <v>1</v>
      </c>
      <c r="F64" s="988">
        <v>24</v>
      </c>
      <c r="G64" s="726"/>
      <c r="H64" s="726"/>
      <c r="I64" s="726"/>
      <c r="J64" s="208"/>
    </row>
    <row r="65" spans="1:10" s="184" customFormat="1" x14ac:dyDescent="0.2">
      <c r="A65" s="1041"/>
      <c r="B65" s="1042"/>
      <c r="C65" s="986" t="s">
        <v>320</v>
      </c>
      <c r="D65" s="995">
        <v>3</v>
      </c>
      <c r="E65" s="988">
        <v>1</v>
      </c>
      <c r="F65" s="988">
        <v>24</v>
      </c>
      <c r="G65" s="726"/>
      <c r="H65" s="726"/>
      <c r="I65" s="726"/>
      <c r="J65" s="208"/>
    </row>
    <row r="66" spans="1:10" s="184" customFormat="1" x14ac:dyDescent="0.2">
      <c r="A66" s="1041"/>
      <c r="B66" s="1042"/>
      <c r="C66" s="986" t="s">
        <v>336</v>
      </c>
      <c r="D66" s="995">
        <v>3</v>
      </c>
      <c r="E66" s="726">
        <v>1</v>
      </c>
      <c r="F66" s="726">
        <v>12</v>
      </c>
      <c r="G66" s="726"/>
      <c r="H66" s="726"/>
      <c r="I66" s="726" t="s">
        <v>550</v>
      </c>
      <c r="J66" s="208"/>
    </row>
    <row r="67" spans="1:10" s="184" customFormat="1" x14ac:dyDescent="0.2">
      <c r="A67" s="1041"/>
      <c r="B67" s="1042"/>
      <c r="C67" s="986" t="s">
        <v>86</v>
      </c>
      <c r="D67" s="995">
        <v>2</v>
      </c>
      <c r="E67" s="726">
        <v>1</v>
      </c>
      <c r="F67" s="726">
        <v>12</v>
      </c>
      <c r="G67" s="726"/>
      <c r="H67" s="726"/>
      <c r="I67" s="726" t="s">
        <v>550</v>
      </c>
      <c r="J67" s="208"/>
    </row>
    <row r="68" spans="1:10" s="184" customFormat="1" ht="15" customHeight="1" x14ac:dyDescent="0.2">
      <c r="A68" s="1041"/>
      <c r="B68" s="1042"/>
      <c r="C68" s="986" t="s">
        <v>86</v>
      </c>
      <c r="D68" s="995"/>
      <c r="E68" s="726">
        <v>1</v>
      </c>
      <c r="F68" s="726">
        <v>24</v>
      </c>
      <c r="G68" s="726"/>
      <c r="H68" s="726"/>
      <c r="I68" s="726"/>
      <c r="J68" s="208"/>
    </row>
    <row r="69" spans="1:10" s="184" customFormat="1" ht="15" customHeight="1" x14ac:dyDescent="0.2">
      <c r="A69" s="1041">
        <v>33</v>
      </c>
      <c r="B69" s="1042" t="s">
        <v>254</v>
      </c>
      <c r="C69" s="459" t="s">
        <v>181</v>
      </c>
      <c r="D69" s="995">
        <v>2</v>
      </c>
      <c r="E69" s="726">
        <v>1</v>
      </c>
      <c r="F69" s="726">
        <v>24</v>
      </c>
      <c r="G69" s="726"/>
      <c r="H69" s="726"/>
      <c r="I69" s="726"/>
      <c r="J69" s="208"/>
    </row>
    <row r="70" spans="1:10" s="184" customFormat="1" ht="15" customHeight="1" x14ac:dyDescent="0.2">
      <c r="A70" s="1041"/>
      <c r="B70" s="1042"/>
      <c r="C70" s="459" t="s">
        <v>49</v>
      </c>
      <c r="D70" s="995">
        <v>3</v>
      </c>
      <c r="E70" s="726">
        <v>1</v>
      </c>
      <c r="F70" s="726">
        <v>24</v>
      </c>
      <c r="G70" s="726"/>
      <c r="H70" s="726"/>
      <c r="I70" s="726"/>
      <c r="J70" s="208"/>
    </row>
    <row r="71" spans="1:10" s="184" customFormat="1" ht="15" customHeight="1" x14ac:dyDescent="0.2">
      <c r="A71" s="1041"/>
      <c r="B71" s="1042"/>
      <c r="C71" s="459" t="s">
        <v>48</v>
      </c>
      <c r="D71" s="995">
        <v>3</v>
      </c>
      <c r="E71" s="989">
        <v>1</v>
      </c>
      <c r="F71" s="989">
        <v>24</v>
      </c>
      <c r="G71" s="726"/>
      <c r="H71" s="726"/>
      <c r="I71" s="726"/>
      <c r="J71" s="208"/>
    </row>
    <row r="72" spans="1:10" s="184" customFormat="1" ht="15" customHeight="1" x14ac:dyDescent="0.2">
      <c r="A72" s="726">
        <v>34</v>
      </c>
      <c r="B72" s="462" t="s">
        <v>47</v>
      </c>
      <c r="C72" s="459" t="s">
        <v>46</v>
      </c>
      <c r="D72" s="995">
        <v>3</v>
      </c>
      <c r="E72" s="726">
        <v>1</v>
      </c>
      <c r="F72" s="726">
        <v>24</v>
      </c>
      <c r="G72" s="726"/>
      <c r="H72" s="726"/>
      <c r="I72" s="726"/>
      <c r="J72" s="208"/>
    </row>
    <row r="73" spans="1:10" s="617" customFormat="1" ht="15" customHeight="1" x14ac:dyDescent="0.2">
      <c r="A73" s="1041">
        <v>35</v>
      </c>
      <c r="B73" s="1042" t="s">
        <v>419</v>
      </c>
      <c r="C73" s="459" t="s">
        <v>424</v>
      </c>
      <c r="D73" s="995">
        <v>2</v>
      </c>
      <c r="E73" s="989">
        <v>1</v>
      </c>
      <c r="F73" s="989">
        <v>24</v>
      </c>
      <c r="G73" s="726"/>
      <c r="H73" s="989"/>
      <c r="I73" s="989"/>
      <c r="J73" s="900"/>
    </row>
    <row r="74" spans="1:10" s="617" customFormat="1" x14ac:dyDescent="0.2">
      <c r="A74" s="1041"/>
      <c r="B74" s="1042"/>
      <c r="C74" s="459" t="s">
        <v>424</v>
      </c>
      <c r="D74" s="995"/>
      <c r="E74" s="989">
        <v>1</v>
      </c>
      <c r="F74" s="989">
        <v>12</v>
      </c>
      <c r="G74" s="726"/>
      <c r="H74" s="989"/>
      <c r="I74" s="726" t="s">
        <v>550</v>
      </c>
      <c r="J74" s="900"/>
    </row>
    <row r="75" spans="1:10" s="617" customFormat="1" ht="15" customHeight="1" x14ac:dyDescent="0.2">
      <c r="A75" s="1041"/>
      <c r="B75" s="1042"/>
      <c r="C75" s="459" t="s">
        <v>545</v>
      </c>
      <c r="D75" s="995"/>
      <c r="E75" s="989">
        <v>1</v>
      </c>
      <c r="F75" s="989">
        <v>24</v>
      </c>
      <c r="G75" s="726"/>
      <c r="H75" s="989"/>
      <c r="I75" s="989"/>
      <c r="J75" s="900"/>
    </row>
    <row r="76" spans="1:10" s="617" customFormat="1" ht="15" customHeight="1" x14ac:dyDescent="0.2">
      <c r="A76" s="1041">
        <v>36</v>
      </c>
      <c r="B76" s="1042" t="s">
        <v>420</v>
      </c>
      <c r="C76" s="459" t="s">
        <v>421</v>
      </c>
      <c r="D76" s="995">
        <v>3</v>
      </c>
      <c r="E76" s="989">
        <v>1</v>
      </c>
      <c r="F76" s="989">
        <v>24</v>
      </c>
      <c r="G76" s="726"/>
      <c r="H76" s="989"/>
      <c r="I76" s="989"/>
      <c r="J76" s="900"/>
    </row>
    <row r="77" spans="1:10" s="617" customFormat="1" ht="15" customHeight="1" x14ac:dyDescent="0.2">
      <c r="A77" s="1041"/>
      <c r="B77" s="1042"/>
      <c r="C77" s="459" t="s">
        <v>422</v>
      </c>
      <c r="D77" s="995">
        <v>3</v>
      </c>
      <c r="E77" s="989">
        <v>1</v>
      </c>
      <c r="F77" s="989">
        <v>24</v>
      </c>
      <c r="G77" s="726"/>
      <c r="H77" s="989"/>
      <c r="I77" s="989"/>
      <c r="J77" s="900"/>
    </row>
    <row r="78" spans="1:10" s="617" customFormat="1" ht="15" customHeight="1" x14ac:dyDescent="0.2">
      <c r="A78" s="1041"/>
      <c r="B78" s="1042"/>
      <c r="C78" s="459" t="s">
        <v>423</v>
      </c>
      <c r="D78" s="995">
        <v>2</v>
      </c>
      <c r="E78" s="989">
        <v>1</v>
      </c>
      <c r="F78" s="989">
        <v>24</v>
      </c>
      <c r="G78" s="726"/>
      <c r="H78" s="989"/>
      <c r="I78" s="989"/>
      <c r="J78" s="900"/>
    </row>
    <row r="79" spans="1:10" s="617" customFormat="1" x14ac:dyDescent="0.2">
      <c r="A79" s="1041"/>
      <c r="B79" s="1042"/>
      <c r="C79" s="459" t="s">
        <v>423</v>
      </c>
      <c r="D79" s="995">
        <v>2</v>
      </c>
      <c r="E79" s="989">
        <v>1</v>
      </c>
      <c r="F79" s="989">
        <v>12</v>
      </c>
      <c r="G79" s="726"/>
      <c r="H79" s="989"/>
      <c r="I79" s="726" t="s">
        <v>550</v>
      </c>
      <c r="J79" s="900"/>
    </row>
    <row r="80" spans="1:10" s="184" customFormat="1" ht="15" customHeight="1" x14ac:dyDescent="0.2">
      <c r="A80" s="1041">
        <v>37</v>
      </c>
      <c r="B80" s="1042" t="s">
        <v>45</v>
      </c>
      <c r="C80" s="459" t="s">
        <v>44</v>
      </c>
      <c r="D80" s="995">
        <v>3</v>
      </c>
      <c r="E80" s="726">
        <v>1</v>
      </c>
      <c r="F80" s="726">
        <v>24</v>
      </c>
      <c r="G80" s="726"/>
      <c r="H80" s="726"/>
      <c r="I80" s="726"/>
      <c r="J80" s="208"/>
    </row>
    <row r="81" spans="1:10" s="617" customFormat="1" ht="15" customHeight="1" x14ac:dyDescent="0.2">
      <c r="A81" s="1041"/>
      <c r="B81" s="1042"/>
      <c r="C81" s="459" t="s">
        <v>43</v>
      </c>
      <c r="D81" s="995">
        <v>3</v>
      </c>
      <c r="E81" s="726">
        <v>1</v>
      </c>
      <c r="F81" s="726">
        <v>24</v>
      </c>
      <c r="G81" s="726"/>
      <c r="H81" s="989"/>
      <c r="I81" s="989"/>
      <c r="J81" s="900"/>
    </row>
    <row r="82" spans="1:10" s="184" customFormat="1" ht="15" customHeight="1" x14ac:dyDescent="0.2">
      <c r="A82" s="1041">
        <v>38</v>
      </c>
      <c r="B82" s="1042" t="s">
        <v>75</v>
      </c>
      <c r="C82" s="986" t="s">
        <v>74</v>
      </c>
      <c r="D82" s="995">
        <v>3</v>
      </c>
      <c r="E82" s="726">
        <v>1</v>
      </c>
      <c r="F82" s="726">
        <v>24</v>
      </c>
      <c r="G82" s="726"/>
      <c r="H82" s="726"/>
      <c r="I82" s="726"/>
      <c r="J82" s="208"/>
    </row>
    <row r="83" spans="1:10" s="184" customFormat="1" ht="15" customHeight="1" x14ac:dyDescent="0.2">
      <c r="A83" s="1041"/>
      <c r="B83" s="1042"/>
      <c r="C83" s="986" t="s">
        <v>73</v>
      </c>
      <c r="D83" s="995">
        <v>3</v>
      </c>
      <c r="E83" s="988">
        <v>1</v>
      </c>
      <c r="F83" s="988">
        <v>24</v>
      </c>
      <c r="G83" s="726"/>
      <c r="H83" s="726"/>
      <c r="I83" s="726"/>
      <c r="J83" s="208"/>
    </row>
    <row r="84" spans="1:10" s="617" customFormat="1" ht="15" customHeight="1" x14ac:dyDescent="0.2">
      <c r="A84" s="1041">
        <v>39</v>
      </c>
      <c r="B84" s="1042" t="s">
        <v>42</v>
      </c>
      <c r="C84" s="459" t="s">
        <v>326</v>
      </c>
      <c r="D84" s="995">
        <v>3</v>
      </c>
      <c r="E84" s="989">
        <v>1</v>
      </c>
      <c r="F84" s="989">
        <v>24</v>
      </c>
      <c r="G84" s="726"/>
      <c r="H84" s="989"/>
      <c r="I84" s="989"/>
      <c r="J84" s="900"/>
    </row>
    <row r="85" spans="1:10" s="617" customFormat="1" ht="15" customHeight="1" x14ac:dyDescent="0.2">
      <c r="A85" s="1041"/>
      <c r="B85" s="1042"/>
      <c r="C85" s="459" t="s">
        <v>196</v>
      </c>
      <c r="D85" s="995">
        <v>3</v>
      </c>
      <c r="E85" s="726">
        <v>1</v>
      </c>
      <c r="F85" s="726">
        <v>24</v>
      </c>
      <c r="G85" s="726"/>
      <c r="H85" s="989"/>
      <c r="I85" s="989"/>
      <c r="J85" s="900"/>
    </row>
    <row r="86" spans="1:10" s="617" customFormat="1" ht="15" customHeight="1" x14ac:dyDescent="0.2">
      <c r="A86" s="1041"/>
      <c r="B86" s="1042"/>
      <c r="C86" s="459" t="s">
        <v>325</v>
      </c>
      <c r="D86" s="995">
        <v>2</v>
      </c>
      <c r="E86" s="726">
        <v>1</v>
      </c>
      <c r="F86" s="726">
        <v>24</v>
      </c>
      <c r="G86" s="726"/>
      <c r="H86" s="989"/>
      <c r="I86" s="989"/>
      <c r="J86" s="900"/>
    </row>
    <row r="87" spans="1:10" s="184" customFormat="1" ht="15" customHeight="1" x14ac:dyDescent="0.2">
      <c r="A87" s="1041">
        <v>40</v>
      </c>
      <c r="B87" s="1042" t="s">
        <v>72</v>
      </c>
      <c r="C87" s="986" t="s">
        <v>71</v>
      </c>
      <c r="D87" s="995">
        <v>3</v>
      </c>
      <c r="E87" s="726">
        <v>1</v>
      </c>
      <c r="F87" s="726">
        <v>24</v>
      </c>
      <c r="G87" s="726"/>
      <c r="H87" s="726"/>
      <c r="I87" s="726"/>
      <c r="J87" s="208"/>
    </row>
    <row r="88" spans="1:10" s="184" customFormat="1" ht="15" customHeight="1" x14ac:dyDescent="0.2">
      <c r="A88" s="1041"/>
      <c r="B88" s="1042"/>
      <c r="C88" s="986" t="s">
        <v>182</v>
      </c>
      <c r="D88" s="995">
        <v>3</v>
      </c>
      <c r="E88" s="726">
        <v>1</v>
      </c>
      <c r="F88" s="726">
        <v>24</v>
      </c>
      <c r="G88" s="726"/>
      <c r="H88" s="726"/>
      <c r="I88" s="726"/>
      <c r="J88" s="208"/>
    </row>
    <row r="89" spans="1:10" s="617" customFormat="1" ht="15" customHeight="1" x14ac:dyDescent="0.2">
      <c r="A89" s="1041">
        <v>41</v>
      </c>
      <c r="B89" s="1042" t="s">
        <v>252</v>
      </c>
      <c r="C89" s="459" t="s">
        <v>356</v>
      </c>
      <c r="D89" s="995">
        <v>3</v>
      </c>
      <c r="E89" s="989">
        <v>1</v>
      </c>
      <c r="F89" s="989">
        <v>24</v>
      </c>
      <c r="G89" s="726"/>
      <c r="H89" s="989"/>
      <c r="I89" s="989"/>
      <c r="J89" s="900"/>
    </row>
    <row r="90" spans="1:10" s="617" customFormat="1" ht="15" customHeight="1" x14ac:dyDescent="0.2">
      <c r="A90" s="1041"/>
      <c r="B90" s="1042"/>
      <c r="C90" s="459" t="s">
        <v>357</v>
      </c>
      <c r="D90" s="995">
        <v>3</v>
      </c>
      <c r="E90" s="989">
        <v>1</v>
      </c>
      <c r="F90" s="989">
        <v>24</v>
      </c>
      <c r="G90" s="726"/>
      <c r="H90" s="989"/>
      <c r="I90" s="989"/>
      <c r="J90" s="900"/>
    </row>
    <row r="91" spans="1:10" s="617" customFormat="1" ht="15" customHeight="1" x14ac:dyDescent="0.2">
      <c r="A91" s="1041"/>
      <c r="B91" s="1042"/>
      <c r="C91" s="459" t="s">
        <v>358</v>
      </c>
      <c r="D91" s="995">
        <v>3</v>
      </c>
      <c r="E91" s="989">
        <v>1</v>
      </c>
      <c r="F91" s="989">
        <v>24</v>
      </c>
      <c r="G91" s="726"/>
      <c r="H91" s="989"/>
      <c r="I91" s="989"/>
      <c r="J91" s="900"/>
    </row>
    <row r="92" spans="1:10" s="617" customFormat="1" ht="15" customHeight="1" x14ac:dyDescent="0.2">
      <c r="A92" s="1041"/>
      <c r="B92" s="1042"/>
      <c r="C92" s="459" t="s">
        <v>359</v>
      </c>
      <c r="D92" s="995">
        <v>3</v>
      </c>
      <c r="E92" s="989">
        <v>1</v>
      </c>
      <c r="F92" s="989">
        <v>24</v>
      </c>
      <c r="G92" s="726"/>
      <c r="H92" s="989"/>
      <c r="I92" s="989"/>
      <c r="J92" s="900"/>
    </row>
    <row r="93" spans="1:10" s="617" customFormat="1" ht="15" customHeight="1" x14ac:dyDescent="0.2">
      <c r="A93" s="1041"/>
      <c r="B93" s="1042"/>
      <c r="C93" s="459" t="s">
        <v>360</v>
      </c>
      <c r="D93" s="995">
        <v>2</v>
      </c>
      <c r="E93" s="726">
        <v>1</v>
      </c>
      <c r="F93" s="726">
        <v>24</v>
      </c>
      <c r="G93" s="726"/>
      <c r="H93" s="989"/>
      <c r="I93" s="989"/>
      <c r="J93" s="900"/>
    </row>
    <row r="94" spans="1:10" s="617" customFormat="1" ht="15" customHeight="1" x14ac:dyDescent="0.2">
      <c r="A94" s="1041"/>
      <c r="B94" s="1042"/>
      <c r="C94" s="459" t="s">
        <v>361</v>
      </c>
      <c r="D94" s="995">
        <v>2</v>
      </c>
      <c r="E94" s="726">
        <v>1</v>
      </c>
      <c r="F94" s="726">
        <v>24</v>
      </c>
      <c r="G94" s="726"/>
      <c r="H94" s="989"/>
      <c r="I94" s="989"/>
      <c r="J94" s="900"/>
    </row>
    <row r="95" spans="1:10" s="617" customFormat="1" x14ac:dyDescent="0.2">
      <c r="A95" s="1041">
        <v>42</v>
      </c>
      <c r="B95" s="1042" t="s">
        <v>176</v>
      </c>
      <c r="C95" s="459" t="s">
        <v>363</v>
      </c>
      <c r="D95" s="995">
        <v>2</v>
      </c>
      <c r="E95" s="726">
        <v>1</v>
      </c>
      <c r="F95" s="726">
        <v>12</v>
      </c>
      <c r="G95" s="726"/>
      <c r="H95" s="989"/>
      <c r="I95" s="726" t="s">
        <v>550</v>
      </c>
      <c r="J95" s="900"/>
    </row>
    <row r="96" spans="1:10" s="617" customFormat="1" ht="15" customHeight="1" x14ac:dyDescent="0.2">
      <c r="A96" s="1041"/>
      <c r="B96" s="1042"/>
      <c r="C96" s="459" t="s">
        <v>362</v>
      </c>
      <c r="D96" s="995">
        <v>3</v>
      </c>
      <c r="E96" s="989">
        <v>1</v>
      </c>
      <c r="F96" s="989">
        <v>24</v>
      </c>
      <c r="G96" s="726"/>
      <c r="H96" s="989"/>
      <c r="I96" s="989"/>
      <c r="J96" s="900"/>
    </row>
    <row r="97" spans="1:10" s="617" customFormat="1" ht="15" customHeight="1" x14ac:dyDescent="0.2">
      <c r="A97" s="1041"/>
      <c r="B97" s="1042"/>
      <c r="C97" s="459" t="s">
        <v>429</v>
      </c>
      <c r="D97" s="995"/>
      <c r="E97" s="989">
        <v>1</v>
      </c>
      <c r="F97" s="989">
        <v>24</v>
      </c>
      <c r="G97" s="726"/>
      <c r="H97" s="989"/>
      <c r="I97" s="989"/>
      <c r="J97" s="900"/>
    </row>
    <row r="98" spans="1:10" s="617" customFormat="1" x14ac:dyDescent="0.2">
      <c r="A98" s="1041"/>
      <c r="B98" s="1042"/>
      <c r="C98" s="459" t="s">
        <v>553</v>
      </c>
      <c r="D98" s="995"/>
      <c r="E98" s="726">
        <v>1</v>
      </c>
      <c r="F98" s="726">
        <v>24</v>
      </c>
      <c r="G98" s="726"/>
      <c r="H98" s="989"/>
      <c r="I98" s="989"/>
      <c r="J98" s="900"/>
    </row>
    <row r="99" spans="1:10" s="617" customFormat="1" x14ac:dyDescent="0.2">
      <c r="A99" s="1041"/>
      <c r="B99" s="1042"/>
      <c r="C99" s="459" t="s">
        <v>553</v>
      </c>
      <c r="D99" s="995"/>
      <c r="E99" s="726">
        <v>1</v>
      </c>
      <c r="F99" s="726">
        <v>24</v>
      </c>
      <c r="G99" s="726"/>
      <c r="H99" s="989"/>
      <c r="I99" s="989"/>
      <c r="J99" s="900"/>
    </row>
    <row r="100" spans="1:10" s="617" customFormat="1" x14ac:dyDescent="0.2">
      <c r="A100" s="1041"/>
      <c r="B100" s="1042"/>
      <c r="C100" s="459" t="s">
        <v>363</v>
      </c>
      <c r="D100" s="995"/>
      <c r="E100" s="726">
        <v>1</v>
      </c>
      <c r="F100" s="726">
        <v>12</v>
      </c>
      <c r="G100" s="726"/>
      <c r="H100" s="989"/>
      <c r="I100" s="726" t="s">
        <v>550</v>
      </c>
      <c r="J100" s="900"/>
    </row>
    <row r="101" spans="1:10" s="617" customFormat="1" ht="15" customHeight="1" x14ac:dyDescent="0.2">
      <c r="A101" s="1041">
        <v>43</v>
      </c>
      <c r="B101" s="1042" t="s">
        <v>39</v>
      </c>
      <c r="C101" s="459" t="s">
        <v>38</v>
      </c>
      <c r="D101" s="995">
        <v>4</v>
      </c>
      <c r="E101" s="726">
        <v>1</v>
      </c>
      <c r="F101" s="726">
        <v>24</v>
      </c>
      <c r="G101" s="726"/>
      <c r="H101" s="989"/>
      <c r="I101" s="989"/>
      <c r="J101" s="900"/>
    </row>
    <row r="102" spans="1:10" s="617" customFormat="1" ht="15" customHeight="1" x14ac:dyDescent="0.2">
      <c r="A102" s="1041"/>
      <c r="B102" s="1042"/>
      <c r="C102" s="459" t="s">
        <v>250</v>
      </c>
      <c r="D102" s="995">
        <v>3</v>
      </c>
      <c r="E102" s="726">
        <v>1</v>
      </c>
      <c r="F102" s="726">
        <v>24</v>
      </c>
      <c r="G102" s="726"/>
      <c r="H102" s="989"/>
      <c r="I102" s="989"/>
      <c r="J102" s="900"/>
    </row>
    <row r="103" spans="1:10" s="617" customFormat="1" ht="15" customHeight="1" x14ac:dyDescent="0.2">
      <c r="A103" s="1041"/>
      <c r="B103" s="1042"/>
      <c r="C103" s="459" t="s">
        <v>248</v>
      </c>
      <c r="D103" s="995">
        <v>4</v>
      </c>
      <c r="E103" s="989">
        <v>1</v>
      </c>
      <c r="F103" s="989">
        <v>24</v>
      </c>
      <c r="G103" s="726"/>
      <c r="H103" s="989"/>
      <c r="I103" s="989"/>
      <c r="J103" s="900"/>
    </row>
    <row r="104" spans="1:10" s="617" customFormat="1" ht="15" customHeight="1" x14ac:dyDescent="0.2">
      <c r="A104" s="1041"/>
      <c r="B104" s="1042"/>
      <c r="C104" s="462" t="s">
        <v>249</v>
      </c>
      <c r="D104" s="995">
        <v>3</v>
      </c>
      <c r="E104" s="989">
        <v>1</v>
      </c>
      <c r="F104" s="989">
        <v>24</v>
      </c>
      <c r="G104" s="726"/>
      <c r="H104" s="989"/>
      <c r="I104" s="989"/>
      <c r="J104" s="900"/>
    </row>
    <row r="105" spans="1:10" s="184" customFormat="1" ht="15" customHeight="1" x14ac:dyDescent="0.2">
      <c r="A105" s="1041">
        <v>44</v>
      </c>
      <c r="B105" s="1042" t="s">
        <v>69</v>
      </c>
      <c r="C105" s="459" t="s">
        <v>68</v>
      </c>
      <c r="D105" s="995">
        <v>3</v>
      </c>
      <c r="E105" s="726">
        <v>1</v>
      </c>
      <c r="F105" s="726">
        <v>24</v>
      </c>
      <c r="G105" s="726"/>
      <c r="H105" s="726"/>
      <c r="I105" s="726"/>
      <c r="J105" s="208"/>
    </row>
    <row r="106" spans="1:10" s="184" customFormat="1" ht="15" customHeight="1" x14ac:dyDescent="0.2">
      <c r="A106" s="1041"/>
      <c r="B106" s="1042"/>
      <c r="C106" s="459" t="s">
        <v>67</v>
      </c>
      <c r="D106" s="995">
        <v>3</v>
      </c>
      <c r="E106" s="726">
        <v>1</v>
      </c>
      <c r="F106" s="726">
        <v>24</v>
      </c>
      <c r="G106" s="726"/>
      <c r="H106" s="726"/>
      <c r="I106" s="726"/>
      <c r="J106" s="208"/>
    </row>
    <row r="107" spans="1:10" s="617" customFormat="1" ht="15" customHeight="1" x14ac:dyDescent="0.2">
      <c r="A107" s="1041">
        <v>45</v>
      </c>
      <c r="B107" s="1042" t="s">
        <v>253</v>
      </c>
      <c r="C107" s="459" t="s">
        <v>340</v>
      </c>
      <c r="D107" s="995">
        <v>3</v>
      </c>
      <c r="E107" s="989">
        <v>1</v>
      </c>
      <c r="F107" s="989">
        <v>24</v>
      </c>
      <c r="G107" s="726"/>
      <c r="H107" s="989"/>
      <c r="I107" s="989"/>
      <c r="J107" s="900"/>
    </row>
    <row r="108" spans="1:10" s="617" customFormat="1" ht="15" customHeight="1" x14ac:dyDescent="0.2">
      <c r="A108" s="1041"/>
      <c r="B108" s="1042"/>
      <c r="C108" s="459" t="s">
        <v>341</v>
      </c>
      <c r="D108" s="995">
        <v>3</v>
      </c>
      <c r="E108" s="989">
        <v>1</v>
      </c>
      <c r="F108" s="989">
        <v>24</v>
      </c>
      <c r="G108" s="726"/>
      <c r="H108" s="989"/>
      <c r="I108" s="989"/>
      <c r="J108" s="900"/>
    </row>
    <row r="109" spans="1:10" s="617" customFormat="1" ht="15" customHeight="1" x14ac:dyDescent="0.2">
      <c r="A109" s="1041"/>
      <c r="B109" s="1042"/>
      <c r="C109" s="459" t="s">
        <v>342</v>
      </c>
      <c r="D109" s="995">
        <v>3</v>
      </c>
      <c r="E109" s="989">
        <v>1</v>
      </c>
      <c r="F109" s="989">
        <v>24</v>
      </c>
      <c r="G109" s="726"/>
      <c r="H109" s="989"/>
      <c r="I109" s="989"/>
      <c r="J109" s="900"/>
    </row>
    <row r="110" spans="1:10" s="617" customFormat="1" ht="15" customHeight="1" x14ac:dyDescent="0.2">
      <c r="A110" s="1041"/>
      <c r="B110" s="1042"/>
      <c r="C110" s="459" t="s">
        <v>343</v>
      </c>
      <c r="D110" s="995">
        <v>3</v>
      </c>
      <c r="E110" s="989">
        <v>1</v>
      </c>
      <c r="F110" s="989">
        <v>24</v>
      </c>
      <c r="G110" s="726"/>
      <c r="H110" s="989"/>
      <c r="I110" s="989"/>
      <c r="J110" s="900"/>
    </row>
    <row r="111" spans="1:10" s="617" customFormat="1" ht="15" customHeight="1" x14ac:dyDescent="0.2">
      <c r="A111" s="1041"/>
      <c r="B111" s="1042"/>
      <c r="C111" s="459" t="s">
        <v>344</v>
      </c>
      <c r="D111" s="995">
        <v>3</v>
      </c>
      <c r="E111" s="989">
        <v>1</v>
      </c>
      <c r="F111" s="989">
        <v>24</v>
      </c>
      <c r="G111" s="726"/>
      <c r="H111" s="989"/>
      <c r="I111" s="989"/>
      <c r="J111" s="900"/>
    </row>
    <row r="112" spans="1:10" s="617" customFormat="1" ht="15" customHeight="1" x14ac:dyDescent="0.2">
      <c r="A112" s="1041"/>
      <c r="B112" s="1042"/>
      <c r="C112" s="459" t="s">
        <v>345</v>
      </c>
      <c r="D112" s="995">
        <v>3</v>
      </c>
      <c r="E112" s="989">
        <v>1</v>
      </c>
      <c r="F112" s="989">
        <v>24</v>
      </c>
      <c r="G112" s="726"/>
      <c r="H112" s="989"/>
      <c r="I112" s="989"/>
      <c r="J112" s="900"/>
    </row>
    <row r="113" spans="1:10" s="617" customFormat="1" ht="15" customHeight="1" x14ac:dyDescent="0.2">
      <c r="A113" s="1041"/>
      <c r="B113" s="1042"/>
      <c r="C113" s="459" t="s">
        <v>346</v>
      </c>
      <c r="D113" s="995">
        <v>2</v>
      </c>
      <c r="E113" s="726">
        <v>1</v>
      </c>
      <c r="F113" s="726">
        <v>24</v>
      </c>
      <c r="G113" s="726"/>
      <c r="H113" s="989"/>
      <c r="I113" s="989"/>
      <c r="J113" s="900"/>
    </row>
    <row r="114" spans="1:10" s="617" customFormat="1" x14ac:dyDescent="0.2">
      <c r="A114" s="1041"/>
      <c r="B114" s="1042"/>
      <c r="C114" s="459" t="s">
        <v>347</v>
      </c>
      <c r="D114" s="995"/>
      <c r="E114" s="726">
        <v>1</v>
      </c>
      <c r="F114" s="726">
        <v>12</v>
      </c>
      <c r="G114" s="726"/>
      <c r="H114" s="989"/>
      <c r="I114" s="726" t="s">
        <v>550</v>
      </c>
      <c r="J114" s="900"/>
    </row>
    <row r="115" spans="1:10" s="184" customFormat="1" ht="15" customHeight="1" x14ac:dyDescent="0.2">
      <c r="A115" s="1041">
        <v>46</v>
      </c>
      <c r="B115" s="1042" t="s">
        <v>269</v>
      </c>
      <c r="C115" s="459" t="s">
        <v>348</v>
      </c>
      <c r="D115" s="995">
        <v>3</v>
      </c>
      <c r="E115" s="726">
        <v>1</v>
      </c>
      <c r="F115" s="726">
        <v>24</v>
      </c>
      <c r="G115" s="726"/>
      <c r="H115" s="726"/>
      <c r="I115" s="726"/>
      <c r="J115" s="208"/>
    </row>
    <row r="116" spans="1:10" s="184" customFormat="1" ht="15" customHeight="1" x14ac:dyDescent="0.2">
      <c r="A116" s="1041"/>
      <c r="B116" s="1042"/>
      <c r="C116" s="459" t="s">
        <v>349</v>
      </c>
      <c r="D116" s="995">
        <v>3</v>
      </c>
      <c r="E116" s="726">
        <v>1</v>
      </c>
      <c r="F116" s="726">
        <v>24</v>
      </c>
      <c r="G116" s="726"/>
      <c r="H116" s="726"/>
      <c r="I116" s="726"/>
      <c r="J116" s="208"/>
    </row>
    <row r="117" spans="1:10" s="184" customFormat="1" ht="15" customHeight="1" x14ac:dyDescent="0.2">
      <c r="A117" s="1041"/>
      <c r="B117" s="1042"/>
      <c r="C117" s="459" t="s">
        <v>350</v>
      </c>
      <c r="D117" s="995">
        <v>3</v>
      </c>
      <c r="E117" s="726">
        <v>1</v>
      </c>
      <c r="F117" s="726">
        <v>24</v>
      </c>
      <c r="G117" s="726"/>
      <c r="H117" s="726"/>
      <c r="I117" s="726"/>
      <c r="J117" s="208"/>
    </row>
    <row r="118" spans="1:10" s="184" customFormat="1" ht="15" customHeight="1" x14ac:dyDescent="0.2">
      <c r="A118" s="1041"/>
      <c r="B118" s="1042"/>
      <c r="C118" s="459" t="s">
        <v>353</v>
      </c>
      <c r="D118" s="995">
        <v>3</v>
      </c>
      <c r="E118" s="726">
        <v>1</v>
      </c>
      <c r="F118" s="726">
        <v>24</v>
      </c>
      <c r="G118" s="726"/>
      <c r="H118" s="726"/>
      <c r="I118" s="726"/>
      <c r="J118" s="208"/>
    </row>
    <row r="119" spans="1:10" s="184" customFormat="1" ht="15" customHeight="1" x14ac:dyDescent="0.2">
      <c r="A119" s="1041"/>
      <c r="B119" s="1042"/>
      <c r="C119" s="459" t="s">
        <v>354</v>
      </c>
      <c r="D119" s="995">
        <v>3</v>
      </c>
      <c r="E119" s="726">
        <v>1</v>
      </c>
      <c r="F119" s="726">
        <v>24</v>
      </c>
      <c r="G119" s="726"/>
      <c r="H119" s="726"/>
      <c r="I119" s="726"/>
      <c r="J119" s="208"/>
    </row>
    <row r="120" spans="1:10" s="184" customFormat="1" ht="15" customHeight="1" x14ac:dyDescent="0.2">
      <c r="A120" s="1041"/>
      <c r="B120" s="1042"/>
      <c r="C120" s="459" t="s">
        <v>351</v>
      </c>
      <c r="D120" s="995">
        <v>3</v>
      </c>
      <c r="E120" s="726">
        <v>1</v>
      </c>
      <c r="F120" s="726">
        <v>24</v>
      </c>
      <c r="G120" s="726"/>
      <c r="H120" s="726"/>
      <c r="I120" s="726"/>
      <c r="J120" s="208"/>
    </row>
    <row r="121" spans="1:10" s="184" customFormat="1" ht="15" customHeight="1" x14ac:dyDescent="0.2">
      <c r="A121" s="1041"/>
      <c r="B121" s="1042"/>
      <c r="C121" s="459" t="s">
        <v>453</v>
      </c>
      <c r="D121" s="995">
        <v>3</v>
      </c>
      <c r="E121" s="726">
        <v>1</v>
      </c>
      <c r="F121" s="726">
        <v>24</v>
      </c>
      <c r="G121" s="726"/>
      <c r="H121" s="726"/>
      <c r="I121" s="726"/>
      <c r="J121" s="208"/>
    </row>
    <row r="122" spans="1:10" s="617" customFormat="1" x14ac:dyDescent="0.2">
      <c r="A122" s="1041"/>
      <c r="B122" s="1042"/>
      <c r="C122" s="459" t="s">
        <v>352</v>
      </c>
      <c r="D122" s="995">
        <v>2</v>
      </c>
      <c r="E122" s="726">
        <v>1</v>
      </c>
      <c r="F122" s="726">
        <v>12</v>
      </c>
      <c r="G122" s="726"/>
      <c r="H122" s="989"/>
      <c r="I122" s="726" t="s">
        <v>550</v>
      </c>
      <c r="J122" s="900"/>
    </row>
    <row r="123" spans="1:10" s="617" customFormat="1" ht="15" customHeight="1" x14ac:dyDescent="0.2">
      <c r="A123" s="1041"/>
      <c r="B123" s="1042"/>
      <c r="C123" s="459" t="s">
        <v>352</v>
      </c>
      <c r="D123" s="995"/>
      <c r="E123" s="726">
        <v>1</v>
      </c>
      <c r="F123" s="726">
        <v>24</v>
      </c>
      <c r="G123" s="726"/>
      <c r="H123" s="989"/>
      <c r="I123" s="989"/>
      <c r="J123" s="900"/>
    </row>
    <row r="124" spans="1:10" s="617" customFormat="1" x14ac:dyDescent="0.2">
      <c r="A124" s="1041">
        <v>47</v>
      </c>
      <c r="B124" s="1042" t="s">
        <v>240</v>
      </c>
      <c r="C124" s="459" t="s">
        <v>355</v>
      </c>
      <c r="D124" s="995">
        <v>2</v>
      </c>
      <c r="E124" s="726">
        <v>1</v>
      </c>
      <c r="F124" s="726">
        <v>12</v>
      </c>
      <c r="G124" s="726"/>
      <c r="H124" s="989"/>
      <c r="I124" s="726" t="s">
        <v>550</v>
      </c>
      <c r="J124" s="900"/>
    </row>
    <row r="125" spans="1:10" s="617" customFormat="1" ht="15" customHeight="1" x14ac:dyDescent="0.2">
      <c r="A125" s="1041"/>
      <c r="B125" s="1042"/>
      <c r="C125" s="459" t="s">
        <v>355</v>
      </c>
      <c r="D125" s="995"/>
      <c r="E125" s="989">
        <v>1</v>
      </c>
      <c r="F125" s="989">
        <v>24</v>
      </c>
      <c r="G125" s="726"/>
      <c r="H125" s="989"/>
      <c r="I125" s="989"/>
      <c r="J125" s="900"/>
    </row>
    <row r="126" spans="1:10" s="184" customFormat="1" ht="15" customHeight="1" x14ac:dyDescent="0.2">
      <c r="A126" s="1041">
        <v>48</v>
      </c>
      <c r="B126" s="1042" t="s">
        <v>417</v>
      </c>
      <c r="C126" s="459" t="s">
        <v>386</v>
      </c>
      <c r="D126" s="995">
        <v>3</v>
      </c>
      <c r="E126" s="726">
        <v>1</v>
      </c>
      <c r="F126" s="726">
        <v>24</v>
      </c>
      <c r="G126" s="726"/>
      <c r="H126" s="726"/>
      <c r="I126" s="726"/>
      <c r="J126" s="208"/>
    </row>
    <row r="127" spans="1:10" s="184" customFormat="1" ht="15" customHeight="1" x14ac:dyDescent="0.2">
      <c r="A127" s="1041"/>
      <c r="B127" s="1042"/>
      <c r="C127" s="459" t="s">
        <v>387</v>
      </c>
      <c r="D127" s="995">
        <v>3</v>
      </c>
      <c r="E127" s="726">
        <v>1</v>
      </c>
      <c r="F127" s="726">
        <v>24</v>
      </c>
      <c r="G127" s="726"/>
      <c r="H127" s="726"/>
      <c r="I127" s="726"/>
      <c r="J127" s="208"/>
    </row>
    <row r="128" spans="1:10" s="184" customFormat="1" ht="15" customHeight="1" x14ac:dyDescent="0.2">
      <c r="A128" s="1041"/>
      <c r="B128" s="1042"/>
      <c r="C128" s="459" t="s">
        <v>388</v>
      </c>
      <c r="D128" s="995">
        <v>3</v>
      </c>
      <c r="E128" s="726">
        <v>1</v>
      </c>
      <c r="F128" s="726">
        <v>24</v>
      </c>
      <c r="G128" s="726"/>
      <c r="H128" s="726"/>
      <c r="I128" s="726"/>
      <c r="J128" s="208"/>
    </row>
    <row r="129" spans="1:10" s="184" customFormat="1" ht="15" customHeight="1" x14ac:dyDescent="0.2">
      <c r="A129" s="1041"/>
      <c r="B129" s="1042"/>
      <c r="C129" s="459" t="s">
        <v>389</v>
      </c>
      <c r="D129" s="995">
        <v>3</v>
      </c>
      <c r="E129" s="726">
        <v>1</v>
      </c>
      <c r="F129" s="726">
        <v>24</v>
      </c>
      <c r="G129" s="726"/>
      <c r="H129" s="726"/>
      <c r="I129" s="726"/>
      <c r="J129" s="208"/>
    </row>
    <row r="130" spans="1:10" s="184" customFormat="1" ht="15" customHeight="1" x14ac:dyDescent="0.2">
      <c r="A130" s="1041"/>
      <c r="B130" s="1042"/>
      <c r="C130" s="459" t="s">
        <v>390</v>
      </c>
      <c r="D130" s="995">
        <v>3</v>
      </c>
      <c r="E130" s="726">
        <v>1</v>
      </c>
      <c r="F130" s="726">
        <v>24</v>
      </c>
      <c r="G130" s="726"/>
      <c r="H130" s="726"/>
      <c r="I130" s="726"/>
      <c r="J130" s="208"/>
    </row>
    <row r="131" spans="1:10" s="184" customFormat="1" ht="15" customHeight="1" x14ac:dyDescent="0.2">
      <c r="A131" s="1041"/>
      <c r="B131" s="1042"/>
      <c r="C131" s="459" t="s">
        <v>415</v>
      </c>
      <c r="D131" s="995">
        <v>3</v>
      </c>
      <c r="E131" s="726">
        <v>1</v>
      </c>
      <c r="F131" s="726">
        <v>24</v>
      </c>
      <c r="G131" s="726"/>
      <c r="H131" s="726"/>
      <c r="I131" s="726"/>
      <c r="J131" s="208"/>
    </row>
    <row r="132" spans="1:10" s="184" customFormat="1" ht="15" customHeight="1" x14ac:dyDescent="0.2">
      <c r="A132" s="1041"/>
      <c r="B132" s="1042"/>
      <c r="C132" s="459" t="s">
        <v>416</v>
      </c>
      <c r="D132" s="995">
        <v>3</v>
      </c>
      <c r="E132" s="726">
        <v>1</v>
      </c>
      <c r="F132" s="726">
        <v>24</v>
      </c>
      <c r="G132" s="726"/>
      <c r="H132" s="726"/>
      <c r="I132" s="726"/>
      <c r="J132" s="208"/>
    </row>
    <row r="133" spans="1:10" s="184" customFormat="1" ht="15" customHeight="1" x14ac:dyDescent="0.2">
      <c r="A133" s="1041"/>
      <c r="B133" s="1042"/>
      <c r="C133" s="459" t="s">
        <v>418</v>
      </c>
      <c r="D133" s="995">
        <v>2</v>
      </c>
      <c r="E133" s="726">
        <v>1</v>
      </c>
      <c r="F133" s="726">
        <v>24</v>
      </c>
      <c r="G133" s="726"/>
      <c r="H133" s="726"/>
      <c r="I133" s="726"/>
      <c r="J133" s="208"/>
    </row>
    <row r="134" spans="1:10" s="184" customFormat="1" x14ac:dyDescent="0.2">
      <c r="A134" s="1041"/>
      <c r="B134" s="1042"/>
      <c r="C134" s="459" t="s">
        <v>418</v>
      </c>
      <c r="D134" s="995"/>
      <c r="E134" s="726">
        <v>1</v>
      </c>
      <c r="F134" s="726">
        <v>12</v>
      </c>
      <c r="G134" s="726"/>
      <c r="H134" s="726"/>
      <c r="I134" s="726" t="s">
        <v>550</v>
      </c>
      <c r="J134" s="208"/>
    </row>
    <row r="135" spans="1:10" s="617" customFormat="1" ht="15" customHeight="1" x14ac:dyDescent="0.2">
      <c r="A135" s="1041">
        <v>49</v>
      </c>
      <c r="B135" s="1042" t="s">
        <v>26</v>
      </c>
      <c r="C135" s="459" t="s">
        <v>25</v>
      </c>
      <c r="D135" s="995">
        <v>3</v>
      </c>
      <c r="E135" s="726">
        <v>1</v>
      </c>
      <c r="F135" s="726">
        <v>24</v>
      </c>
      <c r="G135" s="726"/>
      <c r="H135" s="989"/>
      <c r="I135" s="989"/>
      <c r="J135" s="900"/>
    </row>
    <row r="136" spans="1:10" s="617" customFormat="1" ht="15" customHeight="1" x14ac:dyDescent="0.2">
      <c r="A136" s="1041"/>
      <c r="B136" s="1042"/>
      <c r="C136" s="459" t="s">
        <v>24</v>
      </c>
      <c r="D136" s="995">
        <v>4</v>
      </c>
      <c r="E136" s="726">
        <v>1</v>
      </c>
      <c r="F136" s="726">
        <v>24</v>
      </c>
      <c r="G136" s="726"/>
      <c r="H136" s="989"/>
      <c r="I136" s="989"/>
      <c r="J136" s="900"/>
    </row>
    <row r="137" spans="1:10" s="617" customFormat="1" ht="15" customHeight="1" x14ac:dyDescent="0.2">
      <c r="A137" s="1041"/>
      <c r="B137" s="1042"/>
      <c r="C137" s="459" t="s">
        <v>546</v>
      </c>
      <c r="D137" s="995"/>
      <c r="E137" s="989">
        <v>1</v>
      </c>
      <c r="F137" s="989">
        <v>24</v>
      </c>
      <c r="G137" s="726"/>
      <c r="H137" s="989"/>
      <c r="I137" s="989"/>
      <c r="J137" s="900"/>
    </row>
    <row r="138" spans="1:10" s="617" customFormat="1" ht="15" customHeight="1" x14ac:dyDescent="0.2">
      <c r="A138" s="1041">
        <v>50</v>
      </c>
      <c r="B138" s="1042" t="s">
        <v>32</v>
      </c>
      <c r="C138" s="459" t="s">
        <v>329</v>
      </c>
      <c r="D138" s="995">
        <v>3</v>
      </c>
      <c r="E138" s="726">
        <v>1</v>
      </c>
      <c r="F138" s="726">
        <v>24</v>
      </c>
      <c r="G138" s="726"/>
      <c r="H138" s="989"/>
      <c r="I138" s="989"/>
      <c r="J138" s="900"/>
    </row>
    <row r="139" spans="1:10" s="617" customFormat="1" ht="15" customHeight="1" x14ac:dyDescent="0.2">
      <c r="A139" s="1041"/>
      <c r="B139" s="1042"/>
      <c r="C139" s="459" t="s">
        <v>329</v>
      </c>
      <c r="D139" s="995">
        <v>3</v>
      </c>
      <c r="E139" s="989">
        <v>1</v>
      </c>
      <c r="F139" s="989">
        <v>24</v>
      </c>
      <c r="G139" s="726"/>
      <c r="H139" s="989"/>
      <c r="I139" s="989"/>
      <c r="J139" s="900"/>
    </row>
    <row r="140" spans="1:10" s="617" customFormat="1" ht="15" customHeight="1" x14ac:dyDescent="0.2">
      <c r="A140" s="1041"/>
      <c r="B140" s="1042"/>
      <c r="C140" s="459" t="s">
        <v>267</v>
      </c>
      <c r="D140" s="995">
        <v>3</v>
      </c>
      <c r="E140" s="989">
        <v>1</v>
      </c>
      <c r="F140" s="989">
        <v>24</v>
      </c>
      <c r="G140" s="726"/>
      <c r="H140" s="989"/>
      <c r="I140" s="989"/>
      <c r="J140" s="900"/>
    </row>
    <row r="141" spans="1:10" s="617" customFormat="1" ht="15" customHeight="1" x14ac:dyDescent="0.2">
      <c r="A141" s="726">
        <v>51</v>
      </c>
      <c r="B141" s="462" t="s">
        <v>35</v>
      </c>
      <c r="C141" s="459" t="s">
        <v>34</v>
      </c>
      <c r="D141" s="995">
        <v>2</v>
      </c>
      <c r="E141" s="726">
        <v>1</v>
      </c>
      <c r="F141" s="726">
        <v>24</v>
      </c>
      <c r="G141" s="726"/>
      <c r="H141" s="989"/>
      <c r="I141" s="989"/>
      <c r="J141" s="900"/>
    </row>
    <row r="142" spans="1:10" s="184" customFormat="1" ht="15" customHeight="1" x14ac:dyDescent="0.2">
      <c r="A142" s="1041">
        <v>52</v>
      </c>
      <c r="B142" s="1042" t="s">
        <v>66</v>
      </c>
      <c r="C142" s="459" t="s">
        <v>65</v>
      </c>
      <c r="D142" s="995">
        <v>3</v>
      </c>
      <c r="E142" s="726">
        <v>1</v>
      </c>
      <c r="F142" s="726">
        <v>24</v>
      </c>
      <c r="G142" s="726"/>
      <c r="H142" s="726"/>
      <c r="I142" s="726"/>
      <c r="J142" s="208"/>
    </row>
    <row r="143" spans="1:10" s="184" customFormat="1" ht="15" customHeight="1" x14ac:dyDescent="0.2">
      <c r="A143" s="1041"/>
      <c r="B143" s="1042"/>
      <c r="C143" s="459" t="s">
        <v>330</v>
      </c>
      <c r="D143" s="995">
        <v>3</v>
      </c>
      <c r="E143" s="726">
        <v>1</v>
      </c>
      <c r="F143" s="726">
        <v>24</v>
      </c>
      <c r="G143" s="726"/>
      <c r="H143" s="726"/>
      <c r="I143" s="726"/>
      <c r="J143" s="208"/>
    </row>
    <row r="144" spans="1:10" s="184" customFormat="1" ht="15" customHeight="1" x14ac:dyDescent="0.2">
      <c r="A144" s="1041"/>
      <c r="B144" s="1042"/>
      <c r="C144" s="459" t="s">
        <v>63</v>
      </c>
      <c r="D144" s="995">
        <v>3</v>
      </c>
      <c r="E144" s="989">
        <v>1</v>
      </c>
      <c r="F144" s="989">
        <v>24</v>
      </c>
      <c r="G144" s="726"/>
      <c r="H144" s="726"/>
      <c r="I144" s="726"/>
      <c r="J144" s="208"/>
    </row>
    <row r="145" spans="1:10" s="184" customFormat="1" ht="15" customHeight="1" x14ac:dyDescent="0.2">
      <c r="A145" s="1041"/>
      <c r="B145" s="1042"/>
      <c r="C145" s="459" t="s">
        <v>331</v>
      </c>
      <c r="D145" s="995">
        <v>4</v>
      </c>
      <c r="E145" s="989">
        <v>1</v>
      </c>
      <c r="F145" s="989">
        <v>24</v>
      </c>
      <c r="G145" s="726"/>
      <c r="H145" s="726"/>
      <c r="I145" s="726"/>
      <c r="J145" s="208"/>
    </row>
    <row r="146" spans="1:10" s="184" customFormat="1" ht="15" customHeight="1" x14ac:dyDescent="0.2">
      <c r="A146" s="1041"/>
      <c r="B146" s="1042"/>
      <c r="C146" s="459" t="s">
        <v>332</v>
      </c>
      <c r="D146" s="995">
        <v>4</v>
      </c>
      <c r="E146" s="989">
        <v>1</v>
      </c>
      <c r="F146" s="989">
        <v>24</v>
      </c>
      <c r="G146" s="726"/>
      <c r="H146" s="726"/>
      <c r="I146" s="726"/>
      <c r="J146" s="208"/>
    </row>
    <row r="147" spans="1:10" s="184" customFormat="1" ht="15" customHeight="1" x14ac:dyDescent="0.2">
      <c r="A147" s="1041">
        <v>53</v>
      </c>
      <c r="B147" s="1042" t="s">
        <v>60</v>
      </c>
      <c r="C147" s="459" t="s">
        <v>59</v>
      </c>
      <c r="D147" s="995">
        <v>3</v>
      </c>
      <c r="E147" s="726">
        <v>1</v>
      </c>
      <c r="F147" s="726">
        <v>24</v>
      </c>
      <c r="G147" s="726"/>
      <c r="H147" s="726"/>
      <c r="I147" s="726"/>
      <c r="J147" s="208"/>
    </row>
    <row r="148" spans="1:10" s="184" customFormat="1" ht="15" customHeight="1" x14ac:dyDescent="0.2">
      <c r="A148" s="1041"/>
      <c r="B148" s="1042"/>
      <c r="C148" s="459" t="s">
        <v>333</v>
      </c>
      <c r="D148" s="995">
        <v>4</v>
      </c>
      <c r="E148" s="726">
        <v>1</v>
      </c>
      <c r="F148" s="726">
        <v>24</v>
      </c>
      <c r="G148" s="726"/>
      <c r="H148" s="726"/>
      <c r="I148" s="726"/>
      <c r="J148" s="208"/>
    </row>
    <row r="149" spans="1:10" s="184" customFormat="1" ht="15" customHeight="1" x14ac:dyDescent="0.2">
      <c r="A149" s="1041"/>
      <c r="B149" s="1042"/>
      <c r="C149" s="459" t="s">
        <v>57</v>
      </c>
      <c r="D149" s="995">
        <v>3</v>
      </c>
      <c r="E149" s="989">
        <v>1</v>
      </c>
      <c r="F149" s="989">
        <v>24</v>
      </c>
      <c r="G149" s="726"/>
      <c r="H149" s="726"/>
      <c r="I149" s="726"/>
      <c r="J149" s="208"/>
    </row>
    <row r="150" spans="1:10" s="184" customFormat="1" ht="15" customHeight="1" x14ac:dyDescent="0.2">
      <c r="A150" s="1041"/>
      <c r="B150" s="1042"/>
      <c r="C150" s="459" t="s">
        <v>56</v>
      </c>
      <c r="D150" s="995">
        <v>3</v>
      </c>
      <c r="E150" s="989">
        <v>1</v>
      </c>
      <c r="F150" s="989">
        <v>24</v>
      </c>
      <c r="G150" s="726"/>
      <c r="H150" s="726"/>
      <c r="I150" s="726"/>
      <c r="J150" s="208"/>
    </row>
    <row r="151" spans="1:10" s="184" customFormat="1" ht="15" customHeight="1" x14ac:dyDescent="0.2">
      <c r="A151" s="1041">
        <v>54</v>
      </c>
      <c r="B151" s="1042" t="s">
        <v>84</v>
      </c>
      <c r="C151" s="986" t="s">
        <v>335</v>
      </c>
      <c r="D151" s="995">
        <v>3</v>
      </c>
      <c r="E151" s="726">
        <v>1</v>
      </c>
      <c r="F151" s="726">
        <v>24</v>
      </c>
      <c r="G151" s="726"/>
      <c r="H151" s="726"/>
      <c r="I151" s="726"/>
      <c r="J151" s="208"/>
    </row>
    <row r="152" spans="1:10" s="184" customFormat="1" ht="15" customHeight="1" x14ac:dyDescent="0.2">
      <c r="A152" s="1041"/>
      <c r="B152" s="1042"/>
      <c r="C152" s="986" t="s">
        <v>82</v>
      </c>
      <c r="D152" s="995">
        <v>3</v>
      </c>
      <c r="E152" s="726">
        <v>1</v>
      </c>
      <c r="F152" s="726">
        <v>24</v>
      </c>
      <c r="G152" s="726"/>
      <c r="H152" s="726"/>
      <c r="I152" s="726"/>
      <c r="J152" s="208"/>
    </row>
    <row r="153" spans="1:10" s="184" customFormat="1" ht="15" customHeight="1" x14ac:dyDescent="0.2">
      <c r="A153" s="1041"/>
      <c r="B153" s="1042"/>
      <c r="C153" s="986" t="s">
        <v>81</v>
      </c>
      <c r="D153" s="995">
        <v>3</v>
      </c>
      <c r="E153" s="726">
        <v>1</v>
      </c>
      <c r="F153" s="726">
        <v>24</v>
      </c>
      <c r="G153" s="726"/>
      <c r="H153" s="726"/>
      <c r="I153" s="726"/>
      <c r="J153" s="208"/>
    </row>
    <row r="154" spans="1:10" s="184" customFormat="1" ht="15" customHeight="1" x14ac:dyDescent="0.2">
      <c r="A154" s="1041">
        <v>55</v>
      </c>
      <c r="B154" s="1042" t="s">
        <v>334</v>
      </c>
      <c r="C154" s="986" t="s">
        <v>79</v>
      </c>
      <c r="D154" s="995">
        <v>2</v>
      </c>
      <c r="E154" s="726">
        <v>1</v>
      </c>
      <c r="F154" s="726">
        <v>24</v>
      </c>
      <c r="G154" s="726"/>
      <c r="H154" s="726"/>
      <c r="I154" s="726"/>
      <c r="J154" s="208"/>
    </row>
    <row r="155" spans="1:10" s="184" customFormat="1" ht="15" customHeight="1" x14ac:dyDescent="0.2">
      <c r="A155" s="1041"/>
      <c r="B155" s="1042"/>
      <c r="C155" s="986" t="s">
        <v>78</v>
      </c>
      <c r="D155" s="995">
        <v>2</v>
      </c>
      <c r="E155" s="988">
        <v>1</v>
      </c>
      <c r="F155" s="988">
        <v>24</v>
      </c>
      <c r="G155" s="726"/>
      <c r="H155" s="726"/>
      <c r="I155" s="726"/>
      <c r="J155" s="208"/>
    </row>
    <row r="156" spans="1:10" s="184" customFormat="1" ht="15" customHeight="1" x14ac:dyDescent="0.2">
      <c r="A156" s="726">
        <v>56</v>
      </c>
      <c r="B156" s="462" t="s">
        <v>76</v>
      </c>
      <c r="C156" s="986" t="s">
        <v>175</v>
      </c>
      <c r="D156" s="995">
        <v>2</v>
      </c>
      <c r="E156" s="726">
        <v>1</v>
      </c>
      <c r="F156" s="726">
        <v>24</v>
      </c>
      <c r="G156" s="726"/>
      <c r="H156" s="726"/>
      <c r="I156" s="726"/>
      <c r="J156" s="208"/>
    </row>
    <row r="157" spans="1:10" s="184" customFormat="1" ht="15" customHeight="1" x14ac:dyDescent="0.2">
      <c r="A157" s="1041">
        <v>57</v>
      </c>
      <c r="B157" s="1042" t="s">
        <v>55</v>
      </c>
      <c r="C157" s="459" t="s">
        <v>54</v>
      </c>
      <c r="D157" s="995">
        <v>3</v>
      </c>
      <c r="E157" s="726">
        <v>1</v>
      </c>
      <c r="F157" s="726">
        <v>24</v>
      </c>
      <c r="G157" s="726"/>
      <c r="H157" s="726"/>
      <c r="I157" s="726"/>
      <c r="J157" s="208"/>
    </row>
    <row r="158" spans="1:10" s="184" customFormat="1" ht="15" customHeight="1" x14ac:dyDescent="0.2">
      <c r="A158" s="1041"/>
      <c r="B158" s="1042"/>
      <c r="C158" s="459" t="s">
        <v>53</v>
      </c>
      <c r="D158" s="995">
        <v>3</v>
      </c>
      <c r="E158" s="989">
        <v>1</v>
      </c>
      <c r="F158" s="989">
        <v>24</v>
      </c>
      <c r="G158" s="726"/>
      <c r="H158" s="726"/>
      <c r="I158" s="726"/>
      <c r="J158" s="208"/>
    </row>
    <row r="159" spans="1:10" s="184" customFormat="1" ht="15" customHeight="1" x14ac:dyDescent="0.2">
      <c r="A159" s="1041"/>
      <c r="B159" s="1042"/>
      <c r="C159" s="996" t="s">
        <v>551</v>
      </c>
      <c r="D159" s="995">
        <v>4</v>
      </c>
      <c r="E159" s="726">
        <v>1</v>
      </c>
      <c r="F159" s="726">
        <v>24</v>
      </c>
      <c r="G159" s="726"/>
      <c r="H159" s="726"/>
      <c r="I159" s="726"/>
      <c r="J159" s="208"/>
    </row>
    <row r="160" spans="1:10" s="184" customFormat="1" ht="15" customHeight="1" x14ac:dyDescent="0.2">
      <c r="A160" s="1041"/>
      <c r="B160" s="1042"/>
      <c r="C160" s="996" t="s">
        <v>552</v>
      </c>
      <c r="D160" s="995">
        <v>4</v>
      </c>
      <c r="E160" s="989">
        <v>1</v>
      </c>
      <c r="F160" s="989">
        <v>24</v>
      </c>
      <c r="G160" s="726"/>
      <c r="H160" s="726"/>
      <c r="I160" s="726"/>
      <c r="J160" s="208"/>
    </row>
    <row r="161" spans="1:10" s="184" customFormat="1" ht="15" customHeight="1" x14ac:dyDescent="0.2">
      <c r="A161" s="1041"/>
      <c r="B161" s="1042"/>
      <c r="C161" s="459" t="s">
        <v>52</v>
      </c>
      <c r="D161" s="995">
        <v>3</v>
      </c>
      <c r="E161" s="989">
        <v>1</v>
      </c>
      <c r="F161" s="989">
        <v>24</v>
      </c>
      <c r="G161" s="726"/>
      <c r="H161" s="726"/>
      <c r="I161" s="726"/>
      <c r="J161" s="208"/>
    </row>
    <row r="162" spans="1:10" s="617" customFormat="1" ht="15" customHeight="1" x14ac:dyDescent="0.2">
      <c r="A162" s="1041">
        <v>58</v>
      </c>
      <c r="B162" s="1042" t="s">
        <v>337</v>
      </c>
      <c r="C162" s="459" t="s">
        <v>338</v>
      </c>
      <c r="D162" s="995">
        <v>3</v>
      </c>
      <c r="E162" s="726">
        <v>1</v>
      </c>
      <c r="F162" s="726">
        <v>24</v>
      </c>
      <c r="G162" s="726"/>
      <c r="H162" s="989"/>
      <c r="I162" s="989"/>
      <c r="J162" s="900"/>
    </row>
    <row r="163" spans="1:10" s="617" customFormat="1" x14ac:dyDescent="0.2">
      <c r="A163" s="1041"/>
      <c r="B163" s="1042"/>
      <c r="C163" s="459" t="s">
        <v>433</v>
      </c>
      <c r="D163" s="995">
        <v>3</v>
      </c>
      <c r="E163" s="726">
        <v>1</v>
      </c>
      <c r="F163" s="726">
        <v>12</v>
      </c>
      <c r="G163" s="726"/>
      <c r="H163" s="989"/>
      <c r="I163" s="726" t="s">
        <v>550</v>
      </c>
      <c r="J163" s="900"/>
    </row>
    <row r="164" spans="1:10" s="617" customFormat="1" ht="15" customHeight="1" x14ac:dyDescent="0.2">
      <c r="A164" s="1041"/>
      <c r="B164" s="1042"/>
      <c r="C164" s="459" t="s">
        <v>434</v>
      </c>
      <c r="D164" s="995">
        <v>3</v>
      </c>
      <c r="E164" s="989">
        <v>1</v>
      </c>
      <c r="F164" s="989">
        <v>24</v>
      </c>
      <c r="G164" s="726"/>
      <c r="H164" s="989"/>
      <c r="I164" s="989"/>
      <c r="J164" s="900"/>
    </row>
    <row r="165" spans="1:10" s="617" customFormat="1" ht="15" customHeight="1" x14ac:dyDescent="0.2">
      <c r="A165" s="1041"/>
      <c r="B165" s="1042"/>
      <c r="C165" s="459" t="s">
        <v>455</v>
      </c>
      <c r="D165" s="995">
        <v>3</v>
      </c>
      <c r="E165" s="989">
        <v>1</v>
      </c>
      <c r="F165" s="989">
        <v>24</v>
      </c>
      <c r="G165" s="726"/>
      <c r="H165" s="989"/>
      <c r="I165" s="989"/>
      <c r="J165" s="900"/>
    </row>
    <row r="166" spans="1:10" s="617" customFormat="1" ht="15" customHeight="1" x14ac:dyDescent="0.2">
      <c r="A166" s="1041"/>
      <c r="B166" s="1042"/>
      <c r="C166" s="459" t="s">
        <v>432</v>
      </c>
      <c r="D166" s="995">
        <v>3</v>
      </c>
      <c r="E166" s="726">
        <v>1</v>
      </c>
      <c r="F166" s="726">
        <v>24</v>
      </c>
      <c r="G166" s="726"/>
      <c r="H166" s="989"/>
      <c r="I166" s="989"/>
      <c r="J166" s="900"/>
    </row>
    <row r="167" spans="1:10" s="617" customFormat="1" ht="15" customHeight="1" x14ac:dyDescent="0.2">
      <c r="A167" s="1041"/>
      <c r="B167" s="1042"/>
      <c r="C167" s="459" t="s">
        <v>456</v>
      </c>
      <c r="D167" s="995"/>
      <c r="E167" s="989">
        <v>1</v>
      </c>
      <c r="F167" s="989">
        <v>24</v>
      </c>
      <c r="G167" s="726"/>
      <c r="H167" s="989"/>
      <c r="I167" s="989"/>
      <c r="J167" s="900"/>
    </row>
    <row r="168" spans="1:10" s="617" customFormat="1" x14ac:dyDescent="0.2">
      <c r="A168" s="726">
        <v>59</v>
      </c>
      <c r="B168" s="462" t="s">
        <v>23</v>
      </c>
      <c r="C168" s="459" t="s">
        <v>317</v>
      </c>
      <c r="D168" s="995"/>
      <c r="E168" s="726">
        <v>1</v>
      </c>
      <c r="F168" s="726">
        <v>8</v>
      </c>
      <c r="G168" s="726"/>
      <c r="H168" s="989"/>
      <c r="I168" s="726" t="s">
        <v>550</v>
      </c>
      <c r="J168" s="900"/>
    </row>
    <row r="169" spans="1:10" s="617" customFormat="1" ht="15" customHeight="1" x14ac:dyDescent="0.2">
      <c r="A169" s="726">
        <v>60</v>
      </c>
      <c r="B169" s="462" t="s">
        <v>33</v>
      </c>
      <c r="C169" s="459" t="s">
        <v>33</v>
      </c>
      <c r="D169" s="995">
        <v>3</v>
      </c>
      <c r="E169" s="726">
        <v>1</v>
      </c>
      <c r="F169" s="726">
        <v>24</v>
      </c>
      <c r="G169" s="726"/>
      <c r="H169" s="989"/>
      <c r="I169" s="989"/>
      <c r="J169" s="900"/>
    </row>
    <row r="170" spans="1:10" s="232" customFormat="1" ht="15.6" customHeight="1" x14ac:dyDescent="0.2">
      <c r="A170" s="1041">
        <v>61</v>
      </c>
      <c r="B170" s="1042" t="s">
        <v>7</v>
      </c>
      <c r="C170" s="179" t="s">
        <v>5</v>
      </c>
      <c r="D170" s="995">
        <v>3</v>
      </c>
      <c r="E170" s="726">
        <v>1</v>
      </c>
      <c r="F170" s="726">
        <v>24</v>
      </c>
      <c r="G170" s="726"/>
      <c r="H170" s="1003"/>
      <c r="I170" s="1003"/>
      <c r="J170" s="820"/>
    </row>
    <row r="171" spans="1:10" s="232" customFormat="1" ht="15.6" customHeight="1" x14ac:dyDescent="0.2">
      <c r="A171" s="1041"/>
      <c r="B171" s="1042"/>
      <c r="C171" s="179" t="s">
        <v>4</v>
      </c>
      <c r="D171" s="995">
        <v>4</v>
      </c>
      <c r="E171" s="726">
        <v>1</v>
      </c>
      <c r="F171" s="726">
        <v>24</v>
      </c>
      <c r="G171" s="726"/>
      <c r="H171" s="1003"/>
      <c r="I171" s="1003"/>
      <c r="J171" s="820"/>
    </row>
    <row r="172" spans="1:10" s="232" customFormat="1" ht="15.6" customHeight="1" x14ac:dyDescent="0.2">
      <c r="A172" s="1041"/>
      <c r="B172" s="1042"/>
      <c r="C172" s="179" t="s">
        <v>3</v>
      </c>
      <c r="D172" s="995">
        <v>2</v>
      </c>
      <c r="E172" s="726">
        <v>1</v>
      </c>
      <c r="F172" s="726">
        <v>24</v>
      </c>
      <c r="G172" s="726"/>
      <c r="H172" s="1003"/>
      <c r="I172" s="1003"/>
      <c r="J172" s="820"/>
    </row>
    <row r="173" spans="1:10" s="232" customFormat="1" ht="15.6" customHeight="1" x14ac:dyDescent="0.2">
      <c r="A173" s="1041"/>
      <c r="B173" s="1042"/>
      <c r="C173" s="179" t="s">
        <v>3</v>
      </c>
      <c r="D173" s="995"/>
      <c r="E173" s="726">
        <v>1</v>
      </c>
      <c r="F173" s="726">
        <v>24</v>
      </c>
      <c r="G173" s="726"/>
      <c r="H173" s="1003"/>
      <c r="I173" s="1003"/>
      <c r="J173" s="820"/>
    </row>
    <row r="174" spans="1:10" s="232" customFormat="1" ht="15.75" x14ac:dyDescent="0.2">
      <c r="A174" s="1041"/>
      <c r="B174" s="1042"/>
      <c r="C174" s="179" t="s">
        <v>313</v>
      </c>
      <c r="D174" s="995">
        <v>3</v>
      </c>
      <c r="E174" s="726">
        <v>1</v>
      </c>
      <c r="F174" s="726">
        <v>12</v>
      </c>
      <c r="G174" s="726"/>
      <c r="H174" s="1003"/>
      <c r="I174" s="726" t="s">
        <v>550</v>
      </c>
      <c r="J174" s="820"/>
    </row>
    <row r="175" spans="1:10" s="232" customFormat="1" ht="15.6" customHeight="1" x14ac:dyDescent="0.2">
      <c r="A175" s="1041"/>
      <c r="B175" s="1042"/>
      <c r="C175" s="179" t="s">
        <v>2</v>
      </c>
      <c r="D175" s="995">
        <v>3</v>
      </c>
      <c r="E175" s="726">
        <v>1</v>
      </c>
      <c r="F175" s="726">
        <v>24</v>
      </c>
      <c r="G175" s="726"/>
      <c r="H175" s="1003"/>
      <c r="I175" s="1003"/>
      <c r="J175" s="820"/>
    </row>
    <row r="176" spans="1:10" ht="15" customHeight="1" x14ac:dyDescent="0.2">
      <c r="A176" s="983">
        <v>62</v>
      </c>
      <c r="B176" s="984" t="s">
        <v>457</v>
      </c>
      <c r="C176" s="984"/>
      <c r="D176" s="995"/>
      <c r="E176" s="983">
        <v>1</v>
      </c>
      <c r="F176" s="983">
        <v>24</v>
      </c>
      <c r="G176" s="726"/>
      <c r="H176" s="983"/>
      <c r="I176" s="983"/>
      <c r="J176" s="368"/>
    </row>
    <row r="177" spans="1:10" ht="15" customHeight="1" x14ac:dyDescent="0.2">
      <c r="A177" s="983">
        <v>63</v>
      </c>
      <c r="B177" s="984" t="s">
        <v>458</v>
      </c>
      <c r="C177" s="984"/>
      <c r="D177" s="995"/>
      <c r="E177" s="983">
        <v>1</v>
      </c>
      <c r="F177" s="983">
        <v>24</v>
      </c>
      <c r="G177" s="726"/>
      <c r="H177" s="983"/>
      <c r="I177" s="983"/>
      <c r="J177" s="368"/>
    </row>
    <row r="178" spans="1:10" ht="15" customHeight="1" x14ac:dyDescent="0.2">
      <c r="A178" s="983">
        <v>64</v>
      </c>
      <c r="B178" s="984" t="s">
        <v>459</v>
      </c>
      <c r="C178" s="984"/>
      <c r="D178" s="995"/>
      <c r="E178" s="983">
        <v>1</v>
      </c>
      <c r="F178" s="983">
        <v>24</v>
      </c>
      <c r="G178" s="726"/>
      <c r="H178" s="983"/>
      <c r="I178" s="983"/>
      <c r="J178" s="368"/>
    </row>
    <row r="179" spans="1:10" x14ac:dyDescent="0.2">
      <c r="E179" s="985"/>
    </row>
  </sheetData>
  <autoFilter ref="A3:AG178" xr:uid="{00000000-0009-0000-0000-000001000000}"/>
  <mergeCells count="95">
    <mergeCell ref="B1:F1"/>
    <mergeCell ref="A2:A3"/>
    <mergeCell ref="B2:B3"/>
    <mergeCell ref="C2:C3"/>
    <mergeCell ref="D2:D3"/>
    <mergeCell ref="E2:E3"/>
    <mergeCell ref="A7:A9"/>
    <mergeCell ref="B7:B9"/>
    <mergeCell ref="A10:A11"/>
    <mergeCell ref="B10:B11"/>
    <mergeCell ref="J2:J3"/>
    <mergeCell ref="H2:I2"/>
    <mergeCell ref="A12:A13"/>
    <mergeCell ref="B12:B13"/>
    <mergeCell ref="A14:A15"/>
    <mergeCell ref="B14:B15"/>
    <mergeCell ref="A17:A19"/>
    <mergeCell ref="B17:B19"/>
    <mergeCell ref="A20:A21"/>
    <mergeCell ref="B20:B21"/>
    <mergeCell ref="A22:A24"/>
    <mergeCell ref="B22:B24"/>
    <mergeCell ref="A25:A26"/>
    <mergeCell ref="B25:B26"/>
    <mergeCell ref="A28:A31"/>
    <mergeCell ref="B28:B31"/>
    <mergeCell ref="A34:A36"/>
    <mergeCell ref="B34:B36"/>
    <mergeCell ref="A37:A38"/>
    <mergeCell ref="B37:B38"/>
    <mergeCell ref="A39:A43"/>
    <mergeCell ref="B39:B43"/>
    <mergeCell ref="A44:A45"/>
    <mergeCell ref="B44:B45"/>
    <mergeCell ref="A47:A48"/>
    <mergeCell ref="B47:B48"/>
    <mergeCell ref="A50:A51"/>
    <mergeCell ref="B50:B51"/>
    <mergeCell ref="A52:A53"/>
    <mergeCell ref="B52:B53"/>
    <mergeCell ref="A57:A58"/>
    <mergeCell ref="B57:B58"/>
    <mergeCell ref="A59:A60"/>
    <mergeCell ref="B59:B60"/>
    <mergeCell ref="A63:A68"/>
    <mergeCell ref="B63:B68"/>
    <mergeCell ref="A69:A71"/>
    <mergeCell ref="B69:B71"/>
    <mergeCell ref="A73:A75"/>
    <mergeCell ref="B73:B75"/>
    <mergeCell ref="A76:A79"/>
    <mergeCell ref="B76:B79"/>
    <mergeCell ref="A80:A81"/>
    <mergeCell ref="B80:B81"/>
    <mergeCell ref="A95:A100"/>
    <mergeCell ref="B95:B100"/>
    <mergeCell ref="A101:A104"/>
    <mergeCell ref="B101:B104"/>
    <mergeCell ref="A82:A83"/>
    <mergeCell ref="B82:B83"/>
    <mergeCell ref="A84:A86"/>
    <mergeCell ref="B84:B86"/>
    <mergeCell ref="A87:A88"/>
    <mergeCell ref="B87:B88"/>
    <mergeCell ref="A151:A153"/>
    <mergeCell ref="B151:B153"/>
    <mergeCell ref="A154:A155"/>
    <mergeCell ref="B154:B155"/>
    <mergeCell ref="A138:A140"/>
    <mergeCell ref="B138:B140"/>
    <mergeCell ref="A142:A146"/>
    <mergeCell ref="B142:B146"/>
    <mergeCell ref="A147:A150"/>
    <mergeCell ref="B147:B150"/>
    <mergeCell ref="A124:A125"/>
    <mergeCell ref="B124:B125"/>
    <mergeCell ref="A126:A134"/>
    <mergeCell ref="B126:B134"/>
    <mergeCell ref="A135:A137"/>
    <mergeCell ref="A162:A167"/>
    <mergeCell ref="B162:B167"/>
    <mergeCell ref="A170:A175"/>
    <mergeCell ref="B170:B175"/>
    <mergeCell ref="F2:G2"/>
    <mergeCell ref="A157:A161"/>
    <mergeCell ref="B157:B161"/>
    <mergeCell ref="B135:B137"/>
    <mergeCell ref="A105:A106"/>
    <mergeCell ref="B105:B106"/>
    <mergeCell ref="A107:A114"/>
    <mergeCell ref="B107:B114"/>
    <mergeCell ref="A115:A123"/>
    <mergeCell ref="B115:B123"/>
    <mergeCell ref="A89:A94"/>
    <mergeCell ref="B89:B94"/>
  </mergeCells>
  <pageMargins left="0.35433070866141736" right="0" top="0.19685039370078741" bottom="0.19685039370078741" header="0.51181102362204722" footer="0.51181102362204722"/>
  <pageSetup paperSize="9" scale="39" fitToHeight="2" orientation="portrait" r:id="rId1"/>
  <headerFooter alignWithMargins="0"/>
  <rowBreaks count="1" manualBreakCount="1">
    <brk id="100" max="9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BJ222"/>
  <sheetViews>
    <sheetView view="pageBreakPreview" zoomScale="70" zoomScaleNormal="70" zoomScaleSheetLayoutView="70" workbookViewId="0">
      <pane xSplit="4" ySplit="5" topLeftCell="E6" activePane="bottomRight" state="frozen"/>
      <selection pane="topRight" activeCell="D1" sqref="D1"/>
      <selection pane="bottomLeft" activeCell="A6" sqref="A6"/>
      <selection pane="bottomRight" activeCell="A20" sqref="A20:XFD20"/>
    </sheetView>
  </sheetViews>
  <sheetFormatPr defaultColWidth="8.85546875" defaultRowHeight="18" x14ac:dyDescent="0.25"/>
  <cols>
    <col min="1" max="2" width="5.7109375" style="163" customWidth="1"/>
    <col min="3" max="3" width="41.42578125" style="162" customWidth="1"/>
    <col min="4" max="4" width="31.42578125" style="736" customWidth="1"/>
    <col min="5" max="5" width="7.42578125" style="451" customWidth="1"/>
    <col min="6" max="6" width="6.28515625" style="164" customWidth="1"/>
    <col min="7" max="7" width="8.85546875" style="164" customWidth="1"/>
    <col min="8" max="8" width="7.28515625" style="655" customWidth="1"/>
    <col min="9" max="9" width="10.7109375" style="164" customWidth="1"/>
    <col min="10" max="10" width="8.5703125" style="655" customWidth="1"/>
    <col min="11" max="11" width="10.7109375" style="561" customWidth="1"/>
    <col min="12" max="12" width="6.28515625" style="561" customWidth="1"/>
    <col min="13" max="13" width="10.7109375" style="561" customWidth="1"/>
    <col min="14" max="14" width="15.28515625" style="631" customWidth="1"/>
    <col min="15" max="15" width="6.85546875" style="175" customWidth="1"/>
    <col min="16" max="16" width="5.42578125" style="166" customWidth="1"/>
    <col min="17" max="19" width="9" style="166" customWidth="1"/>
    <col min="20" max="20" width="6.28515625" style="175" customWidth="1"/>
    <col min="21" max="21" width="9.7109375" style="175" customWidth="1"/>
    <col min="22" max="22" width="7.28515625" style="175" customWidth="1"/>
    <col min="23" max="23" width="12.42578125" style="175" customWidth="1"/>
    <col min="24" max="24" width="6.28515625" style="175" customWidth="1"/>
    <col min="25" max="25" width="15.28515625" style="252" customWidth="1"/>
    <col min="26" max="26" width="8.28515625" style="175" customWidth="1"/>
    <col min="27" max="27" width="7.28515625" style="175" customWidth="1"/>
    <col min="28" max="31" width="9.28515625" style="175" customWidth="1"/>
    <col min="32" max="32" width="8" style="175" customWidth="1"/>
    <col min="33" max="34" width="12.5703125" style="175" customWidth="1"/>
    <col min="35" max="35" width="13" style="237" customWidth="1"/>
    <col min="36" max="36" width="10.7109375" style="237" customWidth="1"/>
    <col min="37" max="37" width="15.140625" style="237" customWidth="1"/>
    <col min="38" max="38" width="16.42578125" style="188" customWidth="1"/>
    <col min="39" max="39" width="14.28515625" style="166" customWidth="1"/>
    <col min="40" max="40" width="14.140625" style="252" customWidth="1"/>
    <col min="41" max="41" width="2.42578125" style="175" customWidth="1"/>
    <col min="42" max="42" width="9.5703125" style="237" customWidth="1"/>
    <col min="43" max="43" width="10.42578125" style="512" customWidth="1"/>
    <col min="44" max="44" width="9.7109375" style="512" customWidth="1"/>
    <col min="45" max="45" width="10.7109375" style="921" customWidth="1"/>
    <col min="46" max="46" width="12" style="500" customWidth="1"/>
    <col min="47" max="47" width="8.7109375" style="950" customWidth="1"/>
    <col min="48" max="48" width="16.42578125" style="500" customWidth="1"/>
    <col min="49" max="49" width="18.140625" style="188" customWidth="1"/>
    <col min="50" max="50" width="14.28515625" style="175" customWidth="1"/>
    <col min="51" max="51" width="13.42578125" style="237" customWidth="1"/>
    <col min="52" max="52" width="5.28515625" style="853" hidden="1" customWidth="1"/>
    <col min="53" max="53" width="10.42578125" style="237" hidden="1" customWidth="1"/>
    <col min="54" max="54" width="6" style="956" customWidth="1"/>
    <col min="55" max="56" width="18.5703125" style="500" customWidth="1"/>
    <col min="57" max="57" width="16.7109375" style="500" customWidth="1"/>
    <col min="58" max="58" width="8.85546875" style="500"/>
    <col min="59" max="59" width="7.28515625" style="500" customWidth="1"/>
    <col min="60" max="60" width="11.7109375" style="500" customWidth="1"/>
    <col min="61" max="61" width="11.7109375" style="175" customWidth="1"/>
    <col min="62" max="16384" width="8.85546875" style="175"/>
  </cols>
  <sheetData>
    <row r="1" spans="1:61" s="169" customFormat="1" ht="21.75" customHeight="1" x14ac:dyDescent="0.25">
      <c r="A1" s="669"/>
      <c r="B1" s="669" t="s">
        <v>391</v>
      </c>
      <c r="C1" s="161"/>
      <c r="D1" s="736"/>
      <c r="E1" s="451"/>
      <c r="F1" s="164"/>
      <c r="G1" s="164"/>
      <c r="H1" s="655"/>
      <c r="I1" s="164"/>
      <c r="J1" s="655"/>
      <c r="K1" s="561"/>
      <c r="L1" s="561"/>
      <c r="M1" s="561"/>
      <c r="N1" s="631"/>
      <c r="O1" s="175"/>
      <c r="P1" s="166"/>
      <c r="Q1" s="166"/>
      <c r="R1" s="166"/>
      <c r="S1" s="166"/>
      <c r="T1" s="175"/>
      <c r="U1" s="175"/>
      <c r="V1" s="175"/>
      <c r="W1" s="175"/>
      <c r="X1" s="175"/>
      <c r="Y1" s="252"/>
      <c r="AF1" s="175"/>
      <c r="AG1" s="175"/>
      <c r="AH1" s="175"/>
      <c r="AI1" s="594"/>
      <c r="AJ1" s="594"/>
      <c r="AK1" s="594"/>
      <c r="AL1" s="599"/>
      <c r="AM1" s="166"/>
      <c r="AN1" s="252"/>
      <c r="AP1" s="237"/>
      <c r="AQ1" s="512"/>
      <c r="AR1" s="512"/>
      <c r="AS1" s="921"/>
      <c r="AT1" s="833"/>
      <c r="AU1" s="938"/>
      <c r="AV1" s="833"/>
      <c r="AW1" s="599"/>
      <c r="AY1" s="237"/>
      <c r="AZ1" s="728"/>
      <c r="BA1" s="237"/>
      <c r="BB1" s="956"/>
      <c r="BC1" s="833"/>
      <c r="BD1" s="833"/>
      <c r="BE1" s="833"/>
      <c r="BF1" s="833"/>
      <c r="BG1" s="833"/>
      <c r="BH1" s="833"/>
    </row>
    <row r="2" spans="1:61" s="686" customFormat="1" ht="52.15" customHeight="1" x14ac:dyDescent="0.2">
      <c r="A2" s="1059" t="s">
        <v>168</v>
      </c>
      <c r="B2" s="1060"/>
      <c r="C2" s="1058" t="s">
        <v>167</v>
      </c>
      <c r="D2" s="1076" t="s">
        <v>165</v>
      </c>
      <c r="E2" s="1051" t="s">
        <v>164</v>
      </c>
      <c r="F2" s="1051"/>
      <c r="G2" s="1051"/>
      <c r="H2" s="1051"/>
      <c r="I2" s="1051"/>
      <c r="J2" s="1051"/>
      <c r="K2" s="1051"/>
      <c r="L2" s="1051"/>
      <c r="M2" s="1051"/>
      <c r="N2" s="1051"/>
      <c r="O2" s="1051" t="s">
        <v>428</v>
      </c>
      <c r="P2" s="1051"/>
      <c r="Q2" s="1051"/>
      <c r="R2" s="1051"/>
      <c r="S2" s="1051"/>
      <c r="T2" s="1051"/>
      <c r="U2" s="1051"/>
      <c r="V2" s="1051"/>
      <c r="W2" s="1051"/>
      <c r="X2" s="1051"/>
      <c r="Y2" s="1051"/>
      <c r="Z2" s="1051" t="s">
        <v>276</v>
      </c>
      <c r="AA2" s="1051"/>
      <c r="AB2" s="1051"/>
      <c r="AC2" s="1051"/>
      <c r="AD2" s="1051"/>
      <c r="AE2" s="1051"/>
      <c r="AF2" s="1051"/>
      <c r="AG2" s="1051"/>
      <c r="AH2" s="1051"/>
      <c r="AI2" s="1051"/>
      <c r="AJ2" s="1085" t="s">
        <v>437</v>
      </c>
      <c r="AK2" s="1058" t="s">
        <v>440</v>
      </c>
      <c r="AL2" s="1058"/>
      <c r="AM2" s="1054" t="s">
        <v>441</v>
      </c>
      <c r="AN2" s="1055"/>
      <c r="AP2" s="1109" t="s">
        <v>444</v>
      </c>
      <c r="AQ2" s="1110"/>
      <c r="AR2" s="1110"/>
      <c r="AS2" s="1111"/>
      <c r="AT2" s="1091" t="s">
        <v>446</v>
      </c>
      <c r="AU2" s="1092"/>
      <c r="AV2" s="1054" t="s">
        <v>440</v>
      </c>
      <c r="AW2" s="1055"/>
      <c r="AX2" s="1054" t="s">
        <v>441</v>
      </c>
      <c r="AY2" s="1055"/>
      <c r="AZ2" s="851"/>
      <c r="BA2" s="894"/>
      <c r="BB2" s="957"/>
      <c r="BC2" s="866"/>
      <c r="BD2" s="866"/>
      <c r="BE2" s="866"/>
      <c r="BF2" s="866"/>
      <c r="BG2" s="866"/>
      <c r="BH2" s="866"/>
    </row>
    <row r="3" spans="1:61" s="904" customFormat="1" ht="66.599999999999994" customHeight="1" x14ac:dyDescent="0.2">
      <c r="A3" s="1061"/>
      <c r="B3" s="1062"/>
      <c r="C3" s="1058"/>
      <c r="D3" s="1076"/>
      <c r="E3" s="1075" t="s">
        <v>156</v>
      </c>
      <c r="F3" s="1075" t="s">
        <v>206</v>
      </c>
      <c r="G3" s="1043" t="s">
        <v>322</v>
      </c>
      <c r="H3" s="1078"/>
      <c r="I3" s="1078"/>
      <c r="J3" s="1078"/>
      <c r="K3" s="1078"/>
      <c r="L3" s="1078"/>
      <c r="M3" s="1044"/>
      <c r="N3" s="1047" t="s">
        <v>427</v>
      </c>
      <c r="O3" s="1075" t="s">
        <v>156</v>
      </c>
      <c r="P3" s="1075" t="s">
        <v>206</v>
      </c>
      <c r="Q3" s="1043" t="s">
        <v>322</v>
      </c>
      <c r="R3" s="1078"/>
      <c r="S3" s="1078"/>
      <c r="T3" s="1078"/>
      <c r="U3" s="1078"/>
      <c r="V3" s="1078"/>
      <c r="W3" s="1044"/>
      <c r="X3" s="1075" t="s">
        <v>157</v>
      </c>
      <c r="Y3" s="1047" t="s">
        <v>427</v>
      </c>
      <c r="Z3" s="1075" t="s">
        <v>156</v>
      </c>
      <c r="AA3" s="1075" t="s">
        <v>206</v>
      </c>
      <c r="AB3" s="1043" t="s">
        <v>322</v>
      </c>
      <c r="AC3" s="1078"/>
      <c r="AD3" s="1078"/>
      <c r="AE3" s="1078"/>
      <c r="AF3" s="1078"/>
      <c r="AG3" s="1078"/>
      <c r="AH3" s="1044"/>
      <c r="AI3" s="1047" t="s">
        <v>427</v>
      </c>
      <c r="AJ3" s="1085"/>
      <c r="AK3" s="1056" t="s">
        <v>442</v>
      </c>
      <c r="AL3" s="1056" t="s">
        <v>443</v>
      </c>
      <c r="AM3" s="1056">
        <v>2021</v>
      </c>
      <c r="AN3" s="1056">
        <v>2022</v>
      </c>
      <c r="AP3" s="1098">
        <v>2021</v>
      </c>
      <c r="AQ3" s="1098">
        <v>2022</v>
      </c>
      <c r="AR3" s="1098" t="s">
        <v>445</v>
      </c>
      <c r="AS3" s="1100" t="s">
        <v>450</v>
      </c>
      <c r="AT3" s="1098" t="s">
        <v>447</v>
      </c>
      <c r="AU3" s="1100" t="s">
        <v>448</v>
      </c>
      <c r="AV3" s="1056" t="s">
        <v>442</v>
      </c>
      <c r="AW3" s="1089" t="s">
        <v>451</v>
      </c>
      <c r="AX3" s="1056">
        <v>2021</v>
      </c>
      <c r="AY3" s="1056" t="s">
        <v>449</v>
      </c>
      <c r="AZ3" s="905"/>
      <c r="BA3" s="906"/>
      <c r="BB3" s="958"/>
      <c r="BC3" s="867"/>
      <c r="BD3" s="867"/>
      <c r="BE3" s="867"/>
      <c r="BF3" s="867"/>
      <c r="BG3" s="867"/>
      <c r="BH3" s="867"/>
    </row>
    <row r="4" spans="1:61" s="904" customFormat="1" ht="34.9" customHeight="1" x14ac:dyDescent="0.2">
      <c r="A4" s="1063"/>
      <c r="B4" s="1064"/>
      <c r="C4" s="1058"/>
      <c r="D4" s="1076"/>
      <c r="E4" s="1075"/>
      <c r="F4" s="1075"/>
      <c r="G4" s="907" t="s">
        <v>286</v>
      </c>
      <c r="H4" s="908" t="s">
        <v>323</v>
      </c>
      <c r="I4" s="907" t="s">
        <v>266</v>
      </c>
      <c r="J4" s="908" t="s">
        <v>324</v>
      </c>
      <c r="K4" s="909" t="s">
        <v>321</v>
      </c>
      <c r="L4" s="908" t="s">
        <v>426</v>
      </c>
      <c r="M4" s="909" t="s">
        <v>425</v>
      </c>
      <c r="N4" s="1047"/>
      <c r="O4" s="1075"/>
      <c r="P4" s="1075"/>
      <c r="Q4" s="907" t="s">
        <v>286</v>
      </c>
      <c r="R4" s="908" t="s">
        <v>323</v>
      </c>
      <c r="S4" s="907" t="s">
        <v>266</v>
      </c>
      <c r="T4" s="908" t="s">
        <v>324</v>
      </c>
      <c r="U4" s="909" t="s">
        <v>321</v>
      </c>
      <c r="V4" s="908" t="s">
        <v>426</v>
      </c>
      <c r="W4" s="909" t="s">
        <v>425</v>
      </c>
      <c r="X4" s="1075"/>
      <c r="Y4" s="1047"/>
      <c r="Z4" s="1075"/>
      <c r="AA4" s="1075"/>
      <c r="AB4" s="907" t="s">
        <v>286</v>
      </c>
      <c r="AC4" s="908" t="s">
        <v>323</v>
      </c>
      <c r="AD4" s="907" t="s">
        <v>266</v>
      </c>
      <c r="AE4" s="908" t="s">
        <v>324</v>
      </c>
      <c r="AF4" s="909" t="s">
        <v>321</v>
      </c>
      <c r="AG4" s="908" t="s">
        <v>426</v>
      </c>
      <c r="AH4" s="909" t="s">
        <v>425</v>
      </c>
      <c r="AI4" s="1047"/>
      <c r="AJ4" s="1085"/>
      <c r="AK4" s="1057"/>
      <c r="AL4" s="1057"/>
      <c r="AM4" s="1057"/>
      <c r="AN4" s="1057"/>
      <c r="AP4" s="1099"/>
      <c r="AQ4" s="1099"/>
      <c r="AR4" s="1099"/>
      <c r="AS4" s="1101"/>
      <c r="AT4" s="1099"/>
      <c r="AU4" s="1101"/>
      <c r="AV4" s="1057"/>
      <c r="AW4" s="1090"/>
      <c r="AX4" s="1057"/>
      <c r="AY4" s="1057"/>
      <c r="AZ4" s="905"/>
      <c r="BA4" s="906"/>
      <c r="BB4" s="958"/>
      <c r="BC4" s="867"/>
      <c r="BD4" s="867"/>
      <c r="BE4" s="867"/>
      <c r="BF4" s="867"/>
      <c r="BG4" s="867"/>
      <c r="BH4" s="867"/>
    </row>
    <row r="5" spans="1:61" s="917" customFormat="1" ht="16.5" customHeight="1" x14ac:dyDescent="0.2">
      <c r="A5" s="916">
        <v>1</v>
      </c>
      <c r="B5" s="916">
        <v>1</v>
      </c>
      <c r="C5" s="916">
        <v>2</v>
      </c>
      <c r="D5" s="916">
        <v>3</v>
      </c>
      <c r="E5" s="916">
        <v>4</v>
      </c>
      <c r="F5" s="916">
        <v>5</v>
      </c>
      <c r="G5" s="916"/>
      <c r="H5" s="916"/>
      <c r="I5" s="916"/>
      <c r="J5" s="916"/>
      <c r="K5" s="916"/>
      <c r="L5" s="916">
        <v>6</v>
      </c>
      <c r="M5" s="916">
        <v>7</v>
      </c>
      <c r="N5" s="916">
        <v>8</v>
      </c>
      <c r="O5" s="916">
        <v>9</v>
      </c>
      <c r="P5" s="916">
        <v>10</v>
      </c>
      <c r="Q5" s="916"/>
      <c r="R5" s="916"/>
      <c r="S5" s="916"/>
      <c r="T5" s="916"/>
      <c r="U5" s="916"/>
      <c r="V5" s="916">
        <v>11</v>
      </c>
      <c r="W5" s="916">
        <v>12</v>
      </c>
      <c r="X5" s="916">
        <v>13</v>
      </c>
      <c r="Y5" s="916">
        <v>14</v>
      </c>
      <c r="Z5" s="916">
        <v>15</v>
      </c>
      <c r="AA5" s="916">
        <v>16</v>
      </c>
      <c r="AB5" s="916"/>
      <c r="AC5" s="916"/>
      <c r="AD5" s="916"/>
      <c r="AE5" s="916"/>
      <c r="AF5" s="916"/>
      <c r="AG5" s="916">
        <v>17</v>
      </c>
      <c r="AH5" s="916">
        <v>18</v>
      </c>
      <c r="AI5" s="916">
        <v>19</v>
      </c>
      <c r="AJ5" s="916">
        <v>20</v>
      </c>
      <c r="AK5" s="916">
        <v>21</v>
      </c>
      <c r="AL5" s="917">
        <v>22</v>
      </c>
      <c r="AM5" s="917">
        <v>23</v>
      </c>
      <c r="AN5" s="917">
        <v>24</v>
      </c>
      <c r="AP5" s="916">
        <v>25</v>
      </c>
      <c r="AQ5" s="916">
        <v>26</v>
      </c>
      <c r="AR5" s="916">
        <v>27</v>
      </c>
      <c r="AS5" s="922">
        <v>28</v>
      </c>
      <c r="AT5" s="916">
        <v>29</v>
      </c>
      <c r="AU5" s="922">
        <v>30</v>
      </c>
      <c r="AV5" s="916">
        <v>31</v>
      </c>
      <c r="AW5" s="918">
        <v>32</v>
      </c>
      <c r="AX5" s="917">
        <v>33</v>
      </c>
      <c r="AY5" s="917">
        <v>34</v>
      </c>
      <c r="AZ5" s="919"/>
      <c r="BA5" s="920"/>
      <c r="BB5" s="958"/>
      <c r="BC5" s="955"/>
      <c r="BD5" s="955"/>
      <c r="BE5" s="955"/>
      <c r="BF5" s="955"/>
      <c r="BG5" s="955"/>
      <c r="BH5" s="955"/>
    </row>
    <row r="6" spans="1:61" s="687" customFormat="1" ht="51.75" customHeight="1" x14ac:dyDescent="0.2">
      <c r="A6" s="808">
        <v>1</v>
      </c>
      <c r="B6" s="1082" t="s">
        <v>430</v>
      </c>
      <c r="C6" s="1083"/>
      <c r="D6" s="1084"/>
      <c r="E6" s="746"/>
      <c r="F6" s="746"/>
      <c r="G6" s="746"/>
      <c r="H6" s="678"/>
      <c r="I6" s="746"/>
      <c r="J6" s="678"/>
      <c r="K6" s="679"/>
      <c r="L6" s="678"/>
      <c r="M6" s="679"/>
      <c r="N6" s="747"/>
      <c r="O6" s="746"/>
      <c r="P6" s="746"/>
      <c r="Q6" s="746"/>
      <c r="R6" s="678"/>
      <c r="S6" s="746"/>
      <c r="T6" s="678"/>
      <c r="U6" s="679"/>
      <c r="V6" s="678"/>
      <c r="W6" s="679"/>
      <c r="X6" s="746"/>
      <c r="Y6" s="747"/>
      <c r="Z6" s="746"/>
      <c r="AA6" s="746"/>
      <c r="AB6" s="746"/>
      <c r="AC6" s="678"/>
      <c r="AD6" s="746"/>
      <c r="AE6" s="678"/>
      <c r="AF6" s="679"/>
      <c r="AG6" s="678"/>
      <c r="AH6" s="679"/>
      <c r="AI6" s="747"/>
      <c r="AJ6" s="747"/>
      <c r="AK6" s="877"/>
      <c r="AL6" s="811"/>
      <c r="AM6" s="901"/>
      <c r="AN6" s="902"/>
      <c r="AP6" s="873"/>
      <c r="AQ6" s="873"/>
      <c r="AR6" s="873"/>
      <c r="AS6" s="923"/>
      <c r="AT6" s="834"/>
      <c r="AU6" s="939"/>
      <c r="AV6" s="910"/>
      <c r="AW6" s="811"/>
      <c r="AY6" s="750"/>
      <c r="AZ6" s="851"/>
      <c r="BA6" s="894"/>
      <c r="BB6" s="958"/>
      <c r="BC6" s="867"/>
      <c r="BD6" s="867"/>
      <c r="BE6" s="867"/>
      <c r="BF6" s="867"/>
      <c r="BG6" s="867"/>
      <c r="BH6" s="867"/>
    </row>
    <row r="7" spans="1:61" s="196" customFormat="1" x14ac:dyDescent="0.2">
      <c r="B7" s="1072" t="s">
        <v>146</v>
      </c>
      <c r="C7" s="1072"/>
      <c r="D7" s="1072"/>
      <c r="E7" s="1072"/>
      <c r="F7" s="1072"/>
      <c r="G7" s="208"/>
      <c r="H7" s="656"/>
      <c r="I7" s="208"/>
      <c r="J7" s="656"/>
      <c r="K7" s="664"/>
      <c r="L7" s="664"/>
      <c r="M7" s="664"/>
      <c r="N7" s="657"/>
      <c r="O7" s="688"/>
      <c r="P7" s="179"/>
      <c r="Q7" s="179"/>
      <c r="R7" s="179"/>
      <c r="S7" s="179"/>
      <c r="T7" s="194"/>
      <c r="U7" s="194"/>
      <c r="V7" s="194"/>
      <c r="W7" s="194"/>
      <c r="X7" s="670"/>
      <c r="Y7" s="657"/>
      <c r="Z7" s="194"/>
      <c r="AA7" s="194"/>
      <c r="AB7" s="194"/>
      <c r="AC7" s="194"/>
      <c r="AD7" s="194"/>
      <c r="AE7" s="194"/>
      <c r="AF7" s="194"/>
      <c r="AG7" s="194"/>
      <c r="AH7" s="194"/>
      <c r="AI7" s="657"/>
      <c r="AJ7" s="657"/>
      <c r="AK7" s="832"/>
      <c r="AL7" s="545"/>
      <c r="AM7" s="622"/>
      <c r="AN7" s="622"/>
      <c r="AP7" s="453"/>
      <c r="AQ7" s="453"/>
      <c r="AR7" s="453"/>
      <c r="AS7" s="924"/>
      <c r="AT7" s="835"/>
      <c r="AU7" s="940"/>
      <c r="AV7" s="837"/>
      <c r="AW7" s="545"/>
      <c r="AX7" s="545"/>
      <c r="AY7" s="545"/>
      <c r="AZ7" s="850"/>
      <c r="BA7" s="183"/>
      <c r="BB7" s="959"/>
      <c r="BC7" s="839"/>
      <c r="BD7" s="839"/>
      <c r="BE7" s="839"/>
      <c r="BF7" s="839"/>
      <c r="BG7" s="839"/>
      <c r="BH7" s="839"/>
    </row>
    <row r="8" spans="1:61" s="184" customFormat="1" ht="18.75" customHeight="1" x14ac:dyDescent="0.2">
      <c r="A8" s="1045">
        <v>1</v>
      </c>
      <c r="B8" s="1045">
        <v>1</v>
      </c>
      <c r="C8" s="1046" t="s">
        <v>145</v>
      </c>
      <c r="D8" s="737" t="s">
        <v>144</v>
      </c>
      <c r="E8" s="658" t="s">
        <v>185</v>
      </c>
      <c r="F8" s="311">
        <v>1</v>
      </c>
      <c r="G8" s="198">
        <v>71700</v>
      </c>
      <c r="H8" s="709">
        <v>1.04</v>
      </c>
      <c r="I8" s="453">
        <v>74570</v>
      </c>
      <c r="J8" s="671">
        <v>1.0403</v>
      </c>
      <c r="K8" s="200">
        <v>77580</v>
      </c>
      <c r="L8" s="673">
        <v>1.02</v>
      </c>
      <c r="M8" s="200">
        <v>79130</v>
      </c>
      <c r="N8" s="185">
        <v>949560</v>
      </c>
      <c r="O8" s="710"/>
      <c r="P8" s="311"/>
      <c r="Q8" s="311"/>
      <c r="R8" s="311"/>
      <c r="S8" s="311"/>
      <c r="T8" s="315"/>
      <c r="U8" s="315"/>
      <c r="V8" s="315"/>
      <c r="W8" s="315"/>
      <c r="X8" s="315"/>
      <c r="Y8" s="199"/>
      <c r="Z8" s="311"/>
      <c r="AA8" s="311"/>
      <c r="AB8" s="311"/>
      <c r="AC8" s="311"/>
      <c r="AD8" s="311"/>
      <c r="AE8" s="311"/>
      <c r="AF8" s="315"/>
      <c r="AG8" s="315"/>
      <c r="AH8" s="315"/>
      <c r="AI8" s="199"/>
      <c r="AJ8" s="199">
        <f>F8+P8+AA8</f>
        <v>1</v>
      </c>
      <c r="AK8" s="831">
        <v>949560</v>
      </c>
      <c r="AL8" s="1053">
        <f>AK8+AK9</f>
        <v>1899120</v>
      </c>
      <c r="AM8" s="1052">
        <f>AL8/12*11</f>
        <v>1740860</v>
      </c>
      <c r="AN8" s="1052">
        <f>AL8/12</f>
        <v>158260</v>
      </c>
      <c r="AP8" s="318">
        <f>24*(365-31)*1</f>
        <v>8016</v>
      </c>
      <c r="AQ8" s="318">
        <f>24*31</f>
        <v>744</v>
      </c>
      <c r="AR8" s="318">
        <f>SUM(AP8:AQ8)</f>
        <v>8760</v>
      </c>
      <c r="AS8" s="1112">
        <f>AR8+AR9</f>
        <v>17520</v>
      </c>
      <c r="AT8" s="836">
        <v>108</v>
      </c>
      <c r="AU8" s="1102">
        <v>108</v>
      </c>
      <c r="AV8" s="836">
        <f>AT8*AR8</f>
        <v>946080</v>
      </c>
      <c r="AW8" s="1096">
        <f>AU8*AS8</f>
        <v>1892160</v>
      </c>
      <c r="AX8" s="1096">
        <f>AU8*(AP8+AP9)</f>
        <v>1731456</v>
      </c>
      <c r="AY8" s="1096">
        <f>AW8-AX8</f>
        <v>160704</v>
      </c>
      <c r="AZ8" s="1097">
        <f>AW8-AX8-AY8</f>
        <v>0</v>
      </c>
      <c r="BA8" s="1103">
        <f>AW8-AL8</f>
        <v>-6960</v>
      </c>
      <c r="BB8" s="959">
        <v>2</v>
      </c>
      <c r="BC8" s="617">
        <f>AS8*AU8</f>
        <v>1892160</v>
      </c>
      <c r="BD8" s="617">
        <f>(AP8+AP9)*AU8</f>
        <v>1731456</v>
      </c>
      <c r="BE8" s="617">
        <f>BC8-BD8</f>
        <v>160704</v>
      </c>
      <c r="BF8" s="838"/>
      <c r="BG8" s="838">
        <f>BC8-AW8</f>
        <v>0</v>
      </c>
      <c r="BH8" s="838">
        <f>BD8-AX8</f>
        <v>0</v>
      </c>
      <c r="BI8" s="838">
        <f>BE8-AY8</f>
        <v>0</v>
      </c>
    </row>
    <row r="9" spans="1:61" s="184" customFormat="1" ht="18.75" customHeight="1" x14ac:dyDescent="0.2">
      <c r="A9" s="1045"/>
      <c r="B9" s="1045"/>
      <c r="C9" s="1046"/>
      <c r="D9" s="737" t="s">
        <v>143</v>
      </c>
      <c r="E9" s="658" t="s">
        <v>185</v>
      </c>
      <c r="F9" s="311">
        <v>1</v>
      </c>
      <c r="G9" s="198">
        <v>71700</v>
      </c>
      <c r="H9" s="709">
        <v>1.04</v>
      </c>
      <c r="I9" s="453">
        <v>74570</v>
      </c>
      <c r="J9" s="671">
        <v>1.0403</v>
      </c>
      <c r="K9" s="200">
        <v>77580</v>
      </c>
      <c r="L9" s="673">
        <v>1.02</v>
      </c>
      <c r="M9" s="200">
        <v>79130</v>
      </c>
      <c r="N9" s="185">
        <v>949560</v>
      </c>
      <c r="O9" s="710"/>
      <c r="P9" s="311"/>
      <c r="Q9" s="311"/>
      <c r="R9" s="311"/>
      <c r="S9" s="311"/>
      <c r="T9" s="315"/>
      <c r="U9" s="315"/>
      <c r="V9" s="315"/>
      <c r="W9" s="315"/>
      <c r="X9" s="315"/>
      <c r="Y9" s="199"/>
      <c r="Z9" s="311"/>
      <c r="AA9" s="311"/>
      <c r="AB9" s="311"/>
      <c r="AC9" s="311"/>
      <c r="AD9" s="311"/>
      <c r="AE9" s="311"/>
      <c r="AF9" s="315"/>
      <c r="AG9" s="315"/>
      <c r="AH9" s="315"/>
      <c r="AI9" s="199"/>
      <c r="AJ9" s="199">
        <f t="shared" ref="AJ9:AJ21" si="0">F9+P9+AA9</f>
        <v>1</v>
      </c>
      <c r="AK9" s="831">
        <v>949560</v>
      </c>
      <c r="AL9" s="1053"/>
      <c r="AM9" s="1052"/>
      <c r="AN9" s="1052"/>
      <c r="AP9" s="318">
        <f>24*(365-31)*1</f>
        <v>8016</v>
      </c>
      <c r="AQ9" s="318">
        <f>24*31</f>
        <v>744</v>
      </c>
      <c r="AR9" s="318">
        <f>SUM(AP9:AQ9)</f>
        <v>8760</v>
      </c>
      <c r="AS9" s="1112"/>
      <c r="AT9" s="836">
        <v>108</v>
      </c>
      <c r="AU9" s="1102"/>
      <c r="AV9" s="836">
        <f>AT9*AR9</f>
        <v>946080</v>
      </c>
      <c r="AW9" s="1096"/>
      <c r="AX9" s="1096"/>
      <c r="AY9" s="1096"/>
      <c r="AZ9" s="1097"/>
      <c r="BA9" s="1103"/>
      <c r="BB9" s="959"/>
      <c r="BC9" s="617"/>
      <c r="BD9" s="617"/>
      <c r="BE9" s="617"/>
      <c r="BF9" s="838"/>
      <c r="BG9" s="838"/>
      <c r="BH9" s="838"/>
      <c r="BI9" s="838"/>
    </row>
    <row r="10" spans="1:61" s="184" customFormat="1" ht="18.75" customHeight="1" x14ac:dyDescent="0.2">
      <c r="A10" s="1045">
        <v>2</v>
      </c>
      <c r="B10" s="1045">
        <v>2</v>
      </c>
      <c r="C10" s="1046" t="s">
        <v>394</v>
      </c>
      <c r="D10" s="737" t="s">
        <v>141</v>
      </c>
      <c r="E10" s="658" t="s">
        <v>185</v>
      </c>
      <c r="F10" s="311">
        <v>1</v>
      </c>
      <c r="G10" s="198">
        <v>71700</v>
      </c>
      <c r="H10" s="709">
        <v>1.04</v>
      </c>
      <c r="I10" s="453">
        <v>74570</v>
      </c>
      <c r="J10" s="671">
        <v>1.0403</v>
      </c>
      <c r="K10" s="200">
        <v>77580</v>
      </c>
      <c r="L10" s="673">
        <v>1.02</v>
      </c>
      <c r="M10" s="200">
        <v>79130</v>
      </c>
      <c r="N10" s="185">
        <v>949560</v>
      </c>
      <c r="O10" s="710"/>
      <c r="P10" s="311"/>
      <c r="Q10" s="311"/>
      <c r="R10" s="311"/>
      <c r="S10" s="311"/>
      <c r="T10" s="315"/>
      <c r="U10" s="315"/>
      <c r="V10" s="315"/>
      <c r="W10" s="315"/>
      <c r="X10" s="315"/>
      <c r="Y10" s="199"/>
      <c r="Z10" s="311"/>
      <c r="AA10" s="311"/>
      <c r="AB10" s="311"/>
      <c r="AC10" s="311"/>
      <c r="AD10" s="311"/>
      <c r="AE10" s="311"/>
      <c r="AF10" s="315"/>
      <c r="AG10" s="315"/>
      <c r="AH10" s="315"/>
      <c r="AI10" s="199"/>
      <c r="AJ10" s="199">
        <f t="shared" si="0"/>
        <v>1</v>
      </c>
      <c r="AK10" s="831">
        <v>949560</v>
      </c>
      <c r="AL10" s="1053">
        <f>AK10+AK11+AK12</f>
        <v>2775720</v>
      </c>
      <c r="AM10" s="1052">
        <f>AL10/12*11</f>
        <v>2544410</v>
      </c>
      <c r="AN10" s="1052">
        <f>AL10/12</f>
        <v>231310</v>
      </c>
      <c r="AP10" s="318">
        <f t="shared" ref="AP10:AP21" si="1">24*(365-31)*1</f>
        <v>8016</v>
      </c>
      <c r="AQ10" s="318">
        <f t="shared" ref="AQ10:AQ21" si="2">24*31</f>
        <v>744</v>
      </c>
      <c r="AR10" s="318">
        <f t="shared" ref="AR10:AR21" si="3">SUM(AP10:AQ10)</f>
        <v>8760</v>
      </c>
      <c r="AS10" s="1112">
        <f>AR10+AR11+AR12</f>
        <v>26280</v>
      </c>
      <c r="AT10" s="836">
        <v>108</v>
      </c>
      <c r="AU10" s="1102">
        <v>105</v>
      </c>
      <c r="AV10" s="836">
        <f t="shared" ref="AV10:AV17" si="4">AT10*AR10</f>
        <v>946080</v>
      </c>
      <c r="AW10" s="1096">
        <f>AU10*AS10</f>
        <v>2759400</v>
      </c>
      <c r="AX10" s="1096">
        <f>AU10*(AP10+AP11+AP12)</f>
        <v>2525040</v>
      </c>
      <c r="AY10" s="1096">
        <f>AW10-AX10</f>
        <v>234360</v>
      </c>
      <c r="AZ10" s="1097">
        <f>AW10-AX10-AY10</f>
        <v>0</v>
      </c>
      <c r="BA10" s="1103">
        <f>AW10-AL10</f>
        <v>-16320</v>
      </c>
      <c r="BB10" s="959">
        <v>3</v>
      </c>
      <c r="BC10" s="617">
        <f>AS10*AU10</f>
        <v>2759400</v>
      </c>
      <c r="BD10" s="617">
        <f>(AP10+AP11+AP12)*AU10</f>
        <v>2525040</v>
      </c>
      <c r="BE10" s="617">
        <f t="shared" ref="BE10:BE22" si="5">BC10-BD10</f>
        <v>234360</v>
      </c>
      <c r="BF10" s="838"/>
      <c r="BG10" s="838">
        <f t="shared" ref="BG10:BG22" si="6">BC10-AW10</f>
        <v>0</v>
      </c>
      <c r="BH10" s="838">
        <f t="shared" ref="BH10:BH22" si="7">BD10-AX10</f>
        <v>0</v>
      </c>
      <c r="BI10" s="838">
        <f t="shared" ref="BI10:BI22" si="8">BE10-AY10</f>
        <v>0</v>
      </c>
    </row>
    <row r="11" spans="1:61" s="184" customFormat="1" ht="18.75" customHeight="1" x14ac:dyDescent="0.2">
      <c r="A11" s="1045"/>
      <c r="B11" s="1045"/>
      <c r="C11" s="1046"/>
      <c r="D11" s="737" t="s">
        <v>140</v>
      </c>
      <c r="E11" s="658" t="s">
        <v>185</v>
      </c>
      <c r="F11" s="311">
        <v>1</v>
      </c>
      <c r="G11" s="198">
        <v>71700</v>
      </c>
      <c r="H11" s="709">
        <v>1.04</v>
      </c>
      <c r="I11" s="453">
        <v>74570</v>
      </c>
      <c r="J11" s="671">
        <v>1.0403</v>
      </c>
      <c r="K11" s="200">
        <v>77580</v>
      </c>
      <c r="L11" s="673">
        <v>1.02</v>
      </c>
      <c r="M11" s="200">
        <v>79130</v>
      </c>
      <c r="N11" s="185">
        <v>949560</v>
      </c>
      <c r="O11" s="710"/>
      <c r="P11" s="311"/>
      <c r="Q11" s="311"/>
      <c r="R11" s="311"/>
      <c r="S11" s="311"/>
      <c r="T11" s="315"/>
      <c r="U11" s="315"/>
      <c r="V11" s="315"/>
      <c r="W11" s="315"/>
      <c r="X11" s="315"/>
      <c r="Y11" s="199"/>
      <c r="Z11" s="311"/>
      <c r="AA11" s="311"/>
      <c r="AB11" s="311"/>
      <c r="AC11" s="311"/>
      <c r="AD11" s="311"/>
      <c r="AE11" s="311"/>
      <c r="AF11" s="315"/>
      <c r="AG11" s="315"/>
      <c r="AH11" s="315"/>
      <c r="AI11" s="199"/>
      <c r="AJ11" s="199">
        <f t="shared" si="0"/>
        <v>1</v>
      </c>
      <c r="AK11" s="831">
        <v>949560</v>
      </c>
      <c r="AL11" s="1053"/>
      <c r="AM11" s="1052"/>
      <c r="AN11" s="1052"/>
      <c r="AP11" s="318">
        <f t="shared" si="1"/>
        <v>8016</v>
      </c>
      <c r="AQ11" s="318">
        <f t="shared" si="2"/>
        <v>744</v>
      </c>
      <c r="AR11" s="318">
        <f t="shared" si="3"/>
        <v>8760</v>
      </c>
      <c r="AS11" s="1112"/>
      <c r="AT11" s="836">
        <v>108</v>
      </c>
      <c r="AU11" s="1102"/>
      <c r="AV11" s="836">
        <f t="shared" si="4"/>
        <v>946080</v>
      </c>
      <c r="AW11" s="1096"/>
      <c r="AX11" s="1096"/>
      <c r="AY11" s="1096"/>
      <c r="AZ11" s="1097"/>
      <c r="BA11" s="1103"/>
      <c r="BB11" s="959"/>
      <c r="BC11" s="617"/>
      <c r="BD11" s="617"/>
      <c r="BE11" s="617"/>
      <c r="BF11" s="838"/>
      <c r="BG11" s="838"/>
      <c r="BH11" s="838"/>
      <c r="BI11" s="838"/>
    </row>
    <row r="12" spans="1:61" s="184" customFormat="1" ht="18.75" customHeight="1" x14ac:dyDescent="0.2">
      <c r="A12" s="1045"/>
      <c r="B12" s="1045"/>
      <c r="C12" s="1046"/>
      <c r="D12" s="737" t="s">
        <v>138</v>
      </c>
      <c r="E12" s="658" t="s">
        <v>186</v>
      </c>
      <c r="F12" s="311">
        <v>1</v>
      </c>
      <c r="G12" s="198">
        <v>66200</v>
      </c>
      <c r="H12" s="709">
        <v>1.04</v>
      </c>
      <c r="I12" s="453">
        <v>68850</v>
      </c>
      <c r="J12" s="671">
        <v>1.0403</v>
      </c>
      <c r="K12" s="200">
        <v>71620</v>
      </c>
      <c r="L12" s="673">
        <v>1.02</v>
      </c>
      <c r="M12" s="200">
        <v>73050</v>
      </c>
      <c r="N12" s="185">
        <v>876600</v>
      </c>
      <c r="O12" s="710"/>
      <c r="P12" s="311"/>
      <c r="Q12" s="311"/>
      <c r="R12" s="311"/>
      <c r="S12" s="311"/>
      <c r="T12" s="315"/>
      <c r="U12" s="315"/>
      <c r="V12" s="315"/>
      <c r="W12" s="315"/>
      <c r="X12" s="315"/>
      <c r="Y12" s="199"/>
      <c r="Z12" s="311"/>
      <c r="AA12" s="311"/>
      <c r="AB12" s="311"/>
      <c r="AC12" s="311"/>
      <c r="AD12" s="311"/>
      <c r="AE12" s="311"/>
      <c r="AF12" s="315"/>
      <c r="AG12" s="315"/>
      <c r="AH12" s="315"/>
      <c r="AI12" s="199"/>
      <c r="AJ12" s="199">
        <f t="shared" si="0"/>
        <v>1</v>
      </c>
      <c r="AK12" s="831">
        <v>876600</v>
      </c>
      <c r="AL12" s="1053"/>
      <c r="AM12" s="1052"/>
      <c r="AN12" s="1052"/>
      <c r="AP12" s="318">
        <f t="shared" si="1"/>
        <v>8016</v>
      </c>
      <c r="AQ12" s="318">
        <f t="shared" si="2"/>
        <v>744</v>
      </c>
      <c r="AR12" s="318">
        <f t="shared" si="3"/>
        <v>8760</v>
      </c>
      <c r="AS12" s="1112"/>
      <c r="AT12" s="846">
        <v>100</v>
      </c>
      <c r="AU12" s="1102"/>
      <c r="AV12" s="836">
        <f t="shared" si="4"/>
        <v>876000</v>
      </c>
      <c r="AW12" s="1096"/>
      <c r="AX12" s="1096"/>
      <c r="AY12" s="1096"/>
      <c r="AZ12" s="1097"/>
      <c r="BA12" s="1103"/>
      <c r="BB12" s="959"/>
      <c r="BC12" s="617"/>
      <c r="BD12" s="617"/>
      <c r="BE12" s="617"/>
      <c r="BF12" s="838"/>
      <c r="BG12" s="838"/>
      <c r="BH12" s="838"/>
      <c r="BI12" s="838"/>
    </row>
    <row r="13" spans="1:61" s="184" customFormat="1" ht="18.75" customHeight="1" x14ac:dyDescent="0.2">
      <c r="A13" s="1045">
        <v>3</v>
      </c>
      <c r="B13" s="1045">
        <v>3</v>
      </c>
      <c r="C13" s="1046" t="s">
        <v>393</v>
      </c>
      <c r="D13" s="737" t="s">
        <v>136</v>
      </c>
      <c r="E13" s="658" t="s">
        <v>185</v>
      </c>
      <c r="F13" s="311">
        <v>1</v>
      </c>
      <c r="G13" s="198">
        <v>71700</v>
      </c>
      <c r="H13" s="709">
        <v>1.04</v>
      </c>
      <c r="I13" s="453">
        <v>74570</v>
      </c>
      <c r="J13" s="671">
        <v>1.0403</v>
      </c>
      <c r="K13" s="200">
        <v>77580</v>
      </c>
      <c r="L13" s="673">
        <v>1.02</v>
      </c>
      <c r="M13" s="200">
        <v>79130</v>
      </c>
      <c r="N13" s="185">
        <v>949560</v>
      </c>
      <c r="O13" s="710"/>
      <c r="P13" s="311"/>
      <c r="Q13" s="311"/>
      <c r="R13" s="311"/>
      <c r="S13" s="311"/>
      <c r="T13" s="315"/>
      <c r="U13" s="315"/>
      <c r="V13" s="315"/>
      <c r="W13" s="315"/>
      <c r="X13" s="315"/>
      <c r="Y13" s="199"/>
      <c r="Z13" s="311"/>
      <c r="AA13" s="311"/>
      <c r="AB13" s="311"/>
      <c r="AC13" s="311"/>
      <c r="AD13" s="311"/>
      <c r="AE13" s="311"/>
      <c r="AF13" s="315"/>
      <c r="AG13" s="315"/>
      <c r="AH13" s="315"/>
      <c r="AI13" s="199"/>
      <c r="AJ13" s="199">
        <f t="shared" si="0"/>
        <v>1</v>
      </c>
      <c r="AK13" s="831">
        <v>949560</v>
      </c>
      <c r="AL13" s="1053">
        <f>AK13+AK14</f>
        <v>1899120</v>
      </c>
      <c r="AM13" s="1052">
        <f>AL13/12*11</f>
        <v>1740860</v>
      </c>
      <c r="AN13" s="1052">
        <f>AL13/12</f>
        <v>158260</v>
      </c>
      <c r="AP13" s="318">
        <f t="shared" si="1"/>
        <v>8016</v>
      </c>
      <c r="AQ13" s="318">
        <f t="shared" si="2"/>
        <v>744</v>
      </c>
      <c r="AR13" s="318">
        <f t="shared" si="3"/>
        <v>8760</v>
      </c>
      <c r="AS13" s="1112">
        <f>AR13+AR14</f>
        <v>17520</v>
      </c>
      <c r="AT13" s="836">
        <v>108</v>
      </c>
      <c r="AU13" s="1102">
        <v>108</v>
      </c>
      <c r="AV13" s="836">
        <f t="shared" si="4"/>
        <v>946080</v>
      </c>
      <c r="AW13" s="1096">
        <f t="shared" ref="AW13" si="9">AU13*AS13</f>
        <v>1892160</v>
      </c>
      <c r="AX13" s="1096">
        <f t="shared" ref="AX13" si="10">AU13*(AP13+AP14)</f>
        <v>1731456</v>
      </c>
      <c r="AY13" s="1096">
        <f t="shared" ref="AY13" si="11">AW13-AX13</f>
        <v>160704</v>
      </c>
      <c r="AZ13" s="1097">
        <f>AW13-AX13-AY13</f>
        <v>0</v>
      </c>
      <c r="BA13" s="1103">
        <f>AW13-AL13</f>
        <v>-6960</v>
      </c>
      <c r="BB13" s="959"/>
      <c r="BC13" s="617">
        <f t="shared" ref="BC13:BC22" si="12">AS13*AU13</f>
        <v>1892160</v>
      </c>
      <c r="BD13" s="617">
        <f t="shared" ref="BD13:BD22" si="13">(AP13+AP14)*AU13</f>
        <v>1731456</v>
      </c>
      <c r="BE13" s="617">
        <f t="shared" si="5"/>
        <v>160704</v>
      </c>
      <c r="BF13" s="838"/>
      <c r="BG13" s="838">
        <f t="shared" si="6"/>
        <v>0</v>
      </c>
      <c r="BH13" s="838">
        <f t="shared" si="7"/>
        <v>0</v>
      </c>
      <c r="BI13" s="838">
        <f t="shared" si="8"/>
        <v>0</v>
      </c>
    </row>
    <row r="14" spans="1:61" s="184" customFormat="1" ht="18.75" customHeight="1" x14ac:dyDescent="0.2">
      <c r="A14" s="1045"/>
      <c r="B14" s="1045"/>
      <c r="C14" s="1046"/>
      <c r="D14" s="737" t="s">
        <v>135</v>
      </c>
      <c r="E14" s="658" t="s">
        <v>185</v>
      </c>
      <c r="F14" s="311">
        <v>1</v>
      </c>
      <c r="G14" s="198">
        <v>71700</v>
      </c>
      <c r="H14" s="709">
        <v>1.04</v>
      </c>
      <c r="I14" s="453">
        <v>74570</v>
      </c>
      <c r="J14" s="671">
        <v>1.0403</v>
      </c>
      <c r="K14" s="200">
        <v>77580</v>
      </c>
      <c r="L14" s="673">
        <v>1.02</v>
      </c>
      <c r="M14" s="200">
        <v>79130</v>
      </c>
      <c r="N14" s="185">
        <v>949560</v>
      </c>
      <c r="O14" s="710"/>
      <c r="P14" s="311"/>
      <c r="Q14" s="311"/>
      <c r="R14" s="311"/>
      <c r="S14" s="311"/>
      <c r="T14" s="315"/>
      <c r="U14" s="315"/>
      <c r="V14" s="315"/>
      <c r="W14" s="315"/>
      <c r="X14" s="315"/>
      <c r="Y14" s="199"/>
      <c r="Z14" s="311"/>
      <c r="AA14" s="311"/>
      <c r="AB14" s="311"/>
      <c r="AC14" s="311"/>
      <c r="AD14" s="311"/>
      <c r="AE14" s="311"/>
      <c r="AF14" s="315"/>
      <c r="AG14" s="315"/>
      <c r="AH14" s="315"/>
      <c r="AI14" s="199"/>
      <c r="AJ14" s="199">
        <f t="shared" si="0"/>
        <v>1</v>
      </c>
      <c r="AK14" s="831">
        <v>949560</v>
      </c>
      <c r="AL14" s="1053"/>
      <c r="AM14" s="1052"/>
      <c r="AN14" s="1052"/>
      <c r="AP14" s="318">
        <f t="shared" si="1"/>
        <v>8016</v>
      </c>
      <c r="AQ14" s="318">
        <f t="shared" si="2"/>
        <v>744</v>
      </c>
      <c r="AR14" s="318">
        <f t="shared" si="3"/>
        <v>8760</v>
      </c>
      <c r="AS14" s="1112"/>
      <c r="AT14" s="836">
        <v>108</v>
      </c>
      <c r="AU14" s="1102"/>
      <c r="AV14" s="836">
        <f t="shared" si="4"/>
        <v>946080</v>
      </c>
      <c r="AW14" s="1096"/>
      <c r="AX14" s="1096"/>
      <c r="AY14" s="1096"/>
      <c r="AZ14" s="1097"/>
      <c r="BA14" s="1103"/>
      <c r="BB14" s="959"/>
      <c r="BC14" s="617"/>
      <c r="BD14" s="617"/>
      <c r="BE14" s="617"/>
      <c r="BF14" s="838"/>
      <c r="BG14" s="838"/>
      <c r="BH14" s="838"/>
      <c r="BI14" s="838"/>
    </row>
    <row r="15" spans="1:61" s="184" customFormat="1" ht="18.75" customHeight="1" x14ac:dyDescent="0.2">
      <c r="A15" s="1045">
        <v>4</v>
      </c>
      <c r="B15" s="1045">
        <v>4</v>
      </c>
      <c r="C15" s="1046" t="s">
        <v>395</v>
      </c>
      <c r="D15" s="737" t="s">
        <v>133</v>
      </c>
      <c r="E15" s="658" t="s">
        <v>185</v>
      </c>
      <c r="F15" s="311">
        <v>1</v>
      </c>
      <c r="G15" s="198">
        <v>71700</v>
      </c>
      <c r="H15" s="709">
        <v>1.04</v>
      </c>
      <c r="I15" s="453">
        <v>74570</v>
      </c>
      <c r="J15" s="671">
        <v>1.0403</v>
      </c>
      <c r="K15" s="200">
        <v>77580</v>
      </c>
      <c r="L15" s="673">
        <v>1.02</v>
      </c>
      <c r="M15" s="200">
        <v>79130</v>
      </c>
      <c r="N15" s="185">
        <v>949560</v>
      </c>
      <c r="O15" s="710"/>
      <c r="P15" s="311"/>
      <c r="Q15" s="311"/>
      <c r="R15" s="311"/>
      <c r="S15" s="311"/>
      <c r="T15" s="315"/>
      <c r="U15" s="315"/>
      <c r="V15" s="315"/>
      <c r="W15" s="315"/>
      <c r="X15" s="315"/>
      <c r="Y15" s="199"/>
      <c r="Z15" s="311"/>
      <c r="AA15" s="311"/>
      <c r="AB15" s="311"/>
      <c r="AC15" s="311"/>
      <c r="AD15" s="311"/>
      <c r="AE15" s="311"/>
      <c r="AF15" s="315"/>
      <c r="AG15" s="315"/>
      <c r="AH15" s="315"/>
      <c r="AI15" s="199"/>
      <c r="AJ15" s="199">
        <f t="shared" si="0"/>
        <v>1</v>
      </c>
      <c r="AK15" s="831">
        <v>949560</v>
      </c>
      <c r="AL15" s="1053">
        <f>AK15+AK16</f>
        <v>1899120</v>
      </c>
      <c r="AM15" s="1052">
        <f>AL15/12*11</f>
        <v>1740860</v>
      </c>
      <c r="AN15" s="1052">
        <f>AL15/12</f>
        <v>158260</v>
      </c>
      <c r="AP15" s="318">
        <f t="shared" si="1"/>
        <v>8016</v>
      </c>
      <c r="AQ15" s="318">
        <f t="shared" si="2"/>
        <v>744</v>
      </c>
      <c r="AR15" s="318">
        <f t="shared" si="3"/>
        <v>8760</v>
      </c>
      <c r="AS15" s="1112">
        <f>AR15+AR16</f>
        <v>17520</v>
      </c>
      <c r="AT15" s="836">
        <v>108</v>
      </c>
      <c r="AU15" s="1102">
        <v>108</v>
      </c>
      <c r="AV15" s="836">
        <f t="shared" si="4"/>
        <v>946080</v>
      </c>
      <c r="AW15" s="1096">
        <f t="shared" ref="AW15" si="14">AU15*AS15</f>
        <v>1892160</v>
      </c>
      <c r="AX15" s="1096">
        <f t="shared" ref="AX15" si="15">AU15*(AP15+AP16)</f>
        <v>1731456</v>
      </c>
      <c r="AY15" s="1096">
        <f t="shared" ref="AY15" si="16">AW15-AX15</f>
        <v>160704</v>
      </c>
      <c r="AZ15" s="1097">
        <f>AW15-AX15-AY15</f>
        <v>0</v>
      </c>
      <c r="BA15" s="1103">
        <f>AW15-AL15</f>
        <v>-6960</v>
      </c>
      <c r="BB15" s="959"/>
      <c r="BC15" s="617">
        <f t="shared" si="12"/>
        <v>1892160</v>
      </c>
      <c r="BD15" s="617">
        <f t="shared" si="13"/>
        <v>1731456</v>
      </c>
      <c r="BE15" s="617">
        <f t="shared" si="5"/>
        <v>160704</v>
      </c>
      <c r="BF15" s="838"/>
      <c r="BG15" s="838">
        <f t="shared" si="6"/>
        <v>0</v>
      </c>
      <c r="BH15" s="838">
        <f t="shared" si="7"/>
        <v>0</v>
      </c>
      <c r="BI15" s="838">
        <f t="shared" si="8"/>
        <v>0</v>
      </c>
    </row>
    <row r="16" spans="1:61" s="184" customFormat="1" ht="18.75" customHeight="1" x14ac:dyDescent="0.2">
      <c r="A16" s="1045"/>
      <c r="B16" s="1045"/>
      <c r="C16" s="1046"/>
      <c r="D16" s="737" t="s">
        <v>132</v>
      </c>
      <c r="E16" s="658" t="s">
        <v>185</v>
      </c>
      <c r="F16" s="311">
        <v>1</v>
      </c>
      <c r="G16" s="198">
        <v>71700</v>
      </c>
      <c r="H16" s="709">
        <v>1.04</v>
      </c>
      <c r="I16" s="453">
        <v>74570</v>
      </c>
      <c r="J16" s="671">
        <v>1.0403</v>
      </c>
      <c r="K16" s="200">
        <v>77580</v>
      </c>
      <c r="L16" s="673">
        <v>1.02</v>
      </c>
      <c r="M16" s="200">
        <v>79130</v>
      </c>
      <c r="N16" s="185">
        <v>949560</v>
      </c>
      <c r="O16" s="710"/>
      <c r="P16" s="311"/>
      <c r="Q16" s="311"/>
      <c r="R16" s="311"/>
      <c r="S16" s="311"/>
      <c r="T16" s="315"/>
      <c r="U16" s="315"/>
      <c r="V16" s="315"/>
      <c r="W16" s="315"/>
      <c r="X16" s="315"/>
      <c r="Y16" s="199"/>
      <c r="Z16" s="311"/>
      <c r="AA16" s="311"/>
      <c r="AB16" s="311"/>
      <c r="AC16" s="311"/>
      <c r="AD16" s="311"/>
      <c r="AE16" s="311"/>
      <c r="AF16" s="315"/>
      <c r="AG16" s="315"/>
      <c r="AH16" s="315"/>
      <c r="AI16" s="199"/>
      <c r="AJ16" s="199">
        <f t="shared" si="0"/>
        <v>1</v>
      </c>
      <c r="AK16" s="831">
        <v>949560</v>
      </c>
      <c r="AL16" s="1053"/>
      <c r="AM16" s="1052"/>
      <c r="AN16" s="1052"/>
      <c r="AP16" s="318">
        <f t="shared" si="1"/>
        <v>8016</v>
      </c>
      <c r="AQ16" s="318">
        <f t="shared" si="2"/>
        <v>744</v>
      </c>
      <c r="AR16" s="318">
        <f t="shared" si="3"/>
        <v>8760</v>
      </c>
      <c r="AS16" s="1112"/>
      <c r="AT16" s="836">
        <v>108</v>
      </c>
      <c r="AU16" s="1102"/>
      <c r="AV16" s="836">
        <f t="shared" si="4"/>
        <v>946080</v>
      </c>
      <c r="AW16" s="1096"/>
      <c r="AX16" s="1096"/>
      <c r="AY16" s="1096"/>
      <c r="AZ16" s="1097"/>
      <c r="BA16" s="1103"/>
      <c r="BB16" s="959"/>
      <c r="BC16" s="617"/>
      <c r="BD16" s="617"/>
      <c r="BE16" s="617"/>
      <c r="BF16" s="838"/>
      <c r="BG16" s="838"/>
      <c r="BH16" s="838"/>
      <c r="BI16" s="838"/>
    </row>
    <row r="17" spans="1:61" s="184" customFormat="1" ht="18.600000000000001" customHeight="1" x14ac:dyDescent="0.2">
      <c r="A17" s="1045">
        <v>5</v>
      </c>
      <c r="B17" s="1045">
        <v>5</v>
      </c>
      <c r="C17" s="1046" t="s">
        <v>396</v>
      </c>
      <c r="D17" s="737" t="s">
        <v>126</v>
      </c>
      <c r="E17" s="658" t="s">
        <v>185</v>
      </c>
      <c r="F17" s="311">
        <v>1</v>
      </c>
      <c r="G17" s="198">
        <v>71700</v>
      </c>
      <c r="H17" s="709">
        <v>1.04</v>
      </c>
      <c r="I17" s="453">
        <v>74570</v>
      </c>
      <c r="J17" s="671">
        <v>1.0403</v>
      </c>
      <c r="K17" s="200">
        <v>77580</v>
      </c>
      <c r="L17" s="673">
        <v>1.02</v>
      </c>
      <c r="M17" s="200">
        <v>79130</v>
      </c>
      <c r="N17" s="185">
        <v>949560</v>
      </c>
      <c r="O17" s="710"/>
      <c r="P17" s="311"/>
      <c r="Q17" s="311"/>
      <c r="R17" s="311"/>
      <c r="S17" s="311"/>
      <c r="T17" s="315"/>
      <c r="U17" s="315"/>
      <c r="V17" s="315"/>
      <c r="W17" s="315"/>
      <c r="X17" s="315"/>
      <c r="Y17" s="199"/>
      <c r="Z17" s="311"/>
      <c r="AA17" s="311"/>
      <c r="AB17" s="311"/>
      <c r="AC17" s="311"/>
      <c r="AD17" s="311"/>
      <c r="AE17" s="311"/>
      <c r="AF17" s="315"/>
      <c r="AG17" s="315"/>
      <c r="AH17" s="315"/>
      <c r="AI17" s="199"/>
      <c r="AJ17" s="199">
        <f t="shared" si="0"/>
        <v>1</v>
      </c>
      <c r="AK17" s="831">
        <v>949560</v>
      </c>
      <c r="AL17" s="1053">
        <f>AK17+AK18</f>
        <v>1826160</v>
      </c>
      <c r="AM17" s="1052">
        <f>AL17/12*11</f>
        <v>1673980</v>
      </c>
      <c r="AN17" s="1052">
        <f>AL17/12</f>
        <v>152180</v>
      </c>
      <c r="AP17" s="318">
        <f t="shared" si="1"/>
        <v>8016</v>
      </c>
      <c r="AQ17" s="318">
        <f t="shared" si="2"/>
        <v>744</v>
      </c>
      <c r="AR17" s="318">
        <f t="shared" si="3"/>
        <v>8760</v>
      </c>
      <c r="AS17" s="1112">
        <f>AR17+AR18</f>
        <v>17520</v>
      </c>
      <c r="AT17" s="836">
        <v>108</v>
      </c>
      <c r="AU17" s="1102">
        <v>104</v>
      </c>
      <c r="AV17" s="836">
        <f t="shared" si="4"/>
        <v>946080</v>
      </c>
      <c r="AW17" s="1096">
        <f t="shared" ref="AW17" si="17">AU17*AS17</f>
        <v>1822080</v>
      </c>
      <c r="AX17" s="1096">
        <f t="shared" ref="AX17" si="18">AU17*(AP17+AP18)</f>
        <v>1667328</v>
      </c>
      <c r="AY17" s="1096">
        <f t="shared" ref="AY17" si="19">AW17-AX17</f>
        <v>154752</v>
      </c>
      <c r="AZ17" s="1097">
        <f>AW17-AX17-AY17</f>
        <v>0</v>
      </c>
      <c r="BA17" s="1103">
        <f>AW17-AL17</f>
        <v>-4080</v>
      </c>
      <c r="BB17" s="959"/>
      <c r="BC17" s="617">
        <f t="shared" si="12"/>
        <v>1822080</v>
      </c>
      <c r="BD17" s="617">
        <f t="shared" si="13"/>
        <v>1667328</v>
      </c>
      <c r="BE17" s="617">
        <f t="shared" si="5"/>
        <v>154752</v>
      </c>
      <c r="BF17" s="838"/>
      <c r="BG17" s="838">
        <f t="shared" si="6"/>
        <v>0</v>
      </c>
      <c r="BH17" s="838">
        <f t="shared" si="7"/>
        <v>0</v>
      </c>
      <c r="BI17" s="838">
        <f t="shared" si="8"/>
        <v>0</v>
      </c>
    </row>
    <row r="18" spans="1:61" s="184" customFormat="1" ht="18.600000000000001" customHeight="1" x14ac:dyDescent="0.2">
      <c r="A18" s="1045"/>
      <c r="B18" s="1045"/>
      <c r="C18" s="1046"/>
      <c r="D18" s="737" t="s">
        <v>367</v>
      </c>
      <c r="E18" s="658" t="s">
        <v>186</v>
      </c>
      <c r="F18" s="311">
        <v>1</v>
      </c>
      <c r="G18" s="198"/>
      <c r="H18" s="709"/>
      <c r="I18" s="453"/>
      <c r="J18" s="671"/>
      <c r="K18" s="200">
        <v>71620</v>
      </c>
      <c r="L18" s="673">
        <v>1.02</v>
      </c>
      <c r="M18" s="200">
        <v>73050</v>
      </c>
      <c r="N18" s="185">
        <v>876600</v>
      </c>
      <c r="O18" s="710"/>
      <c r="P18" s="311"/>
      <c r="Q18" s="311"/>
      <c r="R18" s="311"/>
      <c r="S18" s="311"/>
      <c r="T18" s="315"/>
      <c r="U18" s="315"/>
      <c r="V18" s="315"/>
      <c r="W18" s="315"/>
      <c r="X18" s="315"/>
      <c r="Y18" s="199"/>
      <c r="Z18" s="311"/>
      <c r="AA18" s="311"/>
      <c r="AB18" s="311"/>
      <c r="AC18" s="311"/>
      <c r="AD18" s="311"/>
      <c r="AE18" s="311"/>
      <c r="AF18" s="315"/>
      <c r="AG18" s="315"/>
      <c r="AH18" s="315"/>
      <c r="AI18" s="199"/>
      <c r="AJ18" s="199">
        <f t="shared" si="0"/>
        <v>1</v>
      </c>
      <c r="AK18" s="831">
        <v>876600</v>
      </c>
      <c r="AL18" s="1053"/>
      <c r="AM18" s="1052"/>
      <c r="AN18" s="1052"/>
      <c r="AP18" s="318">
        <f t="shared" si="1"/>
        <v>8016</v>
      </c>
      <c r="AQ18" s="318">
        <f t="shared" si="2"/>
        <v>744</v>
      </c>
      <c r="AR18" s="318">
        <f t="shared" si="3"/>
        <v>8760</v>
      </c>
      <c r="AS18" s="1112"/>
      <c r="AT18" s="846">
        <v>100</v>
      </c>
      <c r="AU18" s="1102"/>
      <c r="AV18" s="836">
        <f t="shared" ref="AV18:AV21" si="20">AT18*AR18</f>
        <v>876000</v>
      </c>
      <c r="AW18" s="1096"/>
      <c r="AX18" s="1096"/>
      <c r="AY18" s="1096"/>
      <c r="AZ18" s="1097"/>
      <c r="BA18" s="1103"/>
      <c r="BB18" s="959"/>
      <c r="BC18" s="617"/>
      <c r="BD18" s="617"/>
      <c r="BE18" s="617"/>
      <c r="BF18" s="838"/>
      <c r="BG18" s="838"/>
      <c r="BH18" s="838"/>
      <c r="BI18" s="838"/>
    </row>
    <row r="19" spans="1:61" s="184" customFormat="1" ht="18.75" customHeight="1" x14ac:dyDescent="0.2">
      <c r="A19" s="726">
        <v>6</v>
      </c>
      <c r="B19" s="726">
        <v>6</v>
      </c>
      <c r="C19" s="458" t="s">
        <v>397</v>
      </c>
      <c r="D19" s="737" t="s">
        <v>122</v>
      </c>
      <c r="E19" s="658" t="s">
        <v>185</v>
      </c>
      <c r="F19" s="311">
        <v>1</v>
      </c>
      <c r="G19" s="198">
        <v>71700</v>
      </c>
      <c r="H19" s="709">
        <v>1.04</v>
      </c>
      <c r="I19" s="453">
        <v>74570</v>
      </c>
      <c r="J19" s="671">
        <v>1.0403</v>
      </c>
      <c r="K19" s="200">
        <v>77580</v>
      </c>
      <c r="L19" s="673">
        <v>1.02</v>
      </c>
      <c r="M19" s="200">
        <v>79130</v>
      </c>
      <c r="N19" s="185">
        <v>949560</v>
      </c>
      <c r="O19" s="710"/>
      <c r="P19" s="311"/>
      <c r="Q19" s="311"/>
      <c r="R19" s="311"/>
      <c r="S19" s="311"/>
      <c r="T19" s="315"/>
      <c r="U19" s="315"/>
      <c r="V19" s="315"/>
      <c r="W19" s="315"/>
      <c r="X19" s="315"/>
      <c r="Y19" s="199"/>
      <c r="Z19" s="311"/>
      <c r="AA19" s="311"/>
      <c r="AB19" s="311"/>
      <c r="AC19" s="311"/>
      <c r="AD19" s="311"/>
      <c r="AE19" s="311"/>
      <c r="AF19" s="315"/>
      <c r="AG19" s="315"/>
      <c r="AH19" s="315"/>
      <c r="AI19" s="199"/>
      <c r="AJ19" s="199">
        <f t="shared" si="0"/>
        <v>1</v>
      </c>
      <c r="AK19" s="831">
        <v>949560</v>
      </c>
      <c r="AL19" s="200">
        <f>AK19</f>
        <v>949560</v>
      </c>
      <c r="AM19" s="199">
        <f>AL19/12*11</f>
        <v>870430</v>
      </c>
      <c r="AN19" s="199">
        <f>AL19/12</f>
        <v>79130</v>
      </c>
      <c r="AP19" s="318">
        <f t="shared" si="1"/>
        <v>8016</v>
      </c>
      <c r="AQ19" s="318">
        <f t="shared" si="2"/>
        <v>744</v>
      </c>
      <c r="AR19" s="318">
        <f t="shared" si="3"/>
        <v>8760</v>
      </c>
      <c r="AS19" s="925">
        <f>AR19</f>
        <v>8760</v>
      </c>
      <c r="AT19" s="836">
        <v>108</v>
      </c>
      <c r="AU19" s="941">
        <v>108</v>
      </c>
      <c r="AV19" s="836">
        <f t="shared" si="20"/>
        <v>946080</v>
      </c>
      <c r="AW19" s="885">
        <f>AV19</f>
        <v>946080</v>
      </c>
      <c r="AX19" s="885">
        <f>AU19*AP19</f>
        <v>865728</v>
      </c>
      <c r="AY19" s="885">
        <f>AW19-AX19</f>
        <v>80352</v>
      </c>
      <c r="AZ19" s="387">
        <f>AW19-AX19-AY19</f>
        <v>0</v>
      </c>
      <c r="BA19" s="596">
        <f>AW19-AL19</f>
        <v>-3480</v>
      </c>
      <c r="BB19" s="959">
        <v>1</v>
      </c>
      <c r="BC19" s="617">
        <f>AS19*AU19</f>
        <v>946080</v>
      </c>
      <c r="BD19" s="617">
        <f>(AP19)*AU19</f>
        <v>865728</v>
      </c>
      <c r="BE19" s="617">
        <f t="shared" si="5"/>
        <v>80352</v>
      </c>
      <c r="BF19" s="838"/>
      <c r="BG19" s="838">
        <f t="shared" si="6"/>
        <v>0</v>
      </c>
      <c r="BH19" s="838">
        <f t="shared" si="7"/>
        <v>0</v>
      </c>
      <c r="BI19" s="838">
        <f t="shared" si="8"/>
        <v>0</v>
      </c>
    </row>
    <row r="20" spans="1:61" s="184" customFormat="1" ht="18.75" customHeight="1" x14ac:dyDescent="0.2">
      <c r="A20" s="726">
        <v>7</v>
      </c>
      <c r="B20" s="726">
        <v>7</v>
      </c>
      <c r="C20" s="459" t="s">
        <v>392</v>
      </c>
      <c r="D20" s="737" t="s">
        <v>384</v>
      </c>
      <c r="E20" s="658" t="s">
        <v>185</v>
      </c>
      <c r="F20" s="311">
        <v>1</v>
      </c>
      <c r="G20" s="198">
        <v>71700</v>
      </c>
      <c r="H20" s="709">
        <v>1.04</v>
      </c>
      <c r="I20" s="453">
        <v>74570</v>
      </c>
      <c r="J20" s="671">
        <v>1.0403</v>
      </c>
      <c r="K20" s="200">
        <v>77580</v>
      </c>
      <c r="L20" s="673">
        <v>1.02</v>
      </c>
      <c r="M20" s="200">
        <v>79130</v>
      </c>
      <c r="N20" s="185">
        <v>949560</v>
      </c>
      <c r="O20" s="710"/>
      <c r="P20" s="311"/>
      <c r="Q20" s="311"/>
      <c r="R20" s="311"/>
      <c r="S20" s="311"/>
      <c r="T20" s="315"/>
      <c r="U20" s="315"/>
      <c r="V20" s="315"/>
      <c r="W20" s="315"/>
      <c r="X20" s="315"/>
      <c r="Y20" s="199"/>
      <c r="Z20" s="311"/>
      <c r="AA20" s="311"/>
      <c r="AB20" s="311"/>
      <c r="AC20" s="311"/>
      <c r="AD20" s="311"/>
      <c r="AE20" s="311"/>
      <c r="AF20" s="315"/>
      <c r="AG20" s="315"/>
      <c r="AH20" s="315"/>
      <c r="AI20" s="199"/>
      <c r="AJ20" s="199">
        <f t="shared" si="0"/>
        <v>1</v>
      </c>
      <c r="AK20" s="831">
        <v>949560</v>
      </c>
      <c r="AL20" s="200">
        <f t="shared" ref="AL20:AL21" si="21">AK20</f>
        <v>949560</v>
      </c>
      <c r="AM20" s="199">
        <f>AL20/12*11</f>
        <v>870430</v>
      </c>
      <c r="AN20" s="199">
        <f>AL20/12</f>
        <v>79130</v>
      </c>
      <c r="AP20" s="318">
        <f t="shared" si="1"/>
        <v>8016</v>
      </c>
      <c r="AQ20" s="318">
        <f t="shared" si="2"/>
        <v>744</v>
      </c>
      <c r="AR20" s="318">
        <f t="shared" si="3"/>
        <v>8760</v>
      </c>
      <c r="AS20" s="925">
        <f t="shared" ref="AS20:AS21" si="22">AR20</f>
        <v>8760</v>
      </c>
      <c r="AT20" s="836">
        <v>108</v>
      </c>
      <c r="AU20" s="941">
        <v>108</v>
      </c>
      <c r="AV20" s="836">
        <f t="shared" si="20"/>
        <v>946080</v>
      </c>
      <c r="AW20" s="885">
        <f t="shared" ref="AW20:AW21" si="23">AV20</f>
        <v>946080</v>
      </c>
      <c r="AX20" s="885">
        <f t="shared" ref="AX20:AX21" si="24">AU20*AP20</f>
        <v>865728</v>
      </c>
      <c r="AY20" s="885">
        <f t="shared" ref="AY20:AY21" si="25">AW20-AX20</f>
        <v>80352</v>
      </c>
      <c r="AZ20" s="387">
        <f>AW20-AX20-AY20</f>
        <v>0</v>
      </c>
      <c r="BA20" s="596">
        <f t="shared" ref="BA20:BA21" si="26">AW20-AL20</f>
        <v>-3480</v>
      </c>
      <c r="BB20" s="959"/>
      <c r="BC20" s="617">
        <f t="shared" si="12"/>
        <v>946080</v>
      </c>
      <c r="BD20" s="617">
        <f t="shared" ref="BD20:BD21" si="27">(AP20)*AU20</f>
        <v>865728</v>
      </c>
      <c r="BE20" s="617">
        <f t="shared" si="5"/>
        <v>80352</v>
      </c>
      <c r="BF20" s="838"/>
      <c r="BG20" s="838">
        <f t="shared" si="6"/>
        <v>0</v>
      </c>
      <c r="BH20" s="838">
        <f t="shared" si="7"/>
        <v>0</v>
      </c>
      <c r="BI20" s="838">
        <f t="shared" si="8"/>
        <v>0</v>
      </c>
    </row>
    <row r="21" spans="1:61" s="184" customFormat="1" ht="18.75" customHeight="1" x14ac:dyDescent="0.2">
      <c r="A21" s="726">
        <v>8</v>
      </c>
      <c r="B21" s="726">
        <v>8</v>
      </c>
      <c r="C21" s="462" t="s">
        <v>410</v>
      </c>
      <c r="D21" s="737" t="s">
        <v>380</v>
      </c>
      <c r="E21" s="658" t="s">
        <v>185</v>
      </c>
      <c r="F21" s="311">
        <v>1</v>
      </c>
      <c r="G21" s="198">
        <v>71700</v>
      </c>
      <c r="H21" s="709">
        <v>1.04</v>
      </c>
      <c r="I21" s="453">
        <v>74570</v>
      </c>
      <c r="J21" s="671">
        <v>1.0403</v>
      </c>
      <c r="K21" s="200">
        <v>77580</v>
      </c>
      <c r="L21" s="673">
        <v>1.02</v>
      </c>
      <c r="M21" s="200">
        <v>79130</v>
      </c>
      <c r="N21" s="185">
        <v>949560</v>
      </c>
      <c r="O21" s="710"/>
      <c r="P21" s="311"/>
      <c r="Q21" s="311"/>
      <c r="R21" s="311"/>
      <c r="S21" s="311"/>
      <c r="T21" s="315"/>
      <c r="U21" s="315"/>
      <c r="V21" s="315"/>
      <c r="W21" s="315"/>
      <c r="X21" s="315"/>
      <c r="Y21" s="199"/>
      <c r="Z21" s="311"/>
      <c r="AA21" s="311"/>
      <c r="AB21" s="311"/>
      <c r="AC21" s="311"/>
      <c r="AD21" s="311"/>
      <c r="AE21" s="311"/>
      <c r="AF21" s="315"/>
      <c r="AG21" s="315"/>
      <c r="AH21" s="315"/>
      <c r="AI21" s="199"/>
      <c r="AJ21" s="199">
        <f t="shared" si="0"/>
        <v>1</v>
      </c>
      <c r="AK21" s="831">
        <v>949560</v>
      </c>
      <c r="AL21" s="200">
        <f t="shared" si="21"/>
        <v>949560</v>
      </c>
      <c r="AM21" s="199">
        <f>AL21/12*11</f>
        <v>870430</v>
      </c>
      <c r="AN21" s="199">
        <f>AL21/12</f>
        <v>79130</v>
      </c>
      <c r="AP21" s="318">
        <f t="shared" si="1"/>
        <v>8016</v>
      </c>
      <c r="AQ21" s="318">
        <f t="shared" si="2"/>
        <v>744</v>
      </c>
      <c r="AR21" s="318">
        <f t="shared" si="3"/>
        <v>8760</v>
      </c>
      <c r="AS21" s="925">
        <f t="shared" si="22"/>
        <v>8760</v>
      </c>
      <c r="AT21" s="836">
        <v>108</v>
      </c>
      <c r="AU21" s="941">
        <v>108</v>
      </c>
      <c r="AV21" s="836">
        <f t="shared" si="20"/>
        <v>946080</v>
      </c>
      <c r="AW21" s="885">
        <f t="shared" si="23"/>
        <v>946080</v>
      </c>
      <c r="AX21" s="885">
        <f t="shared" si="24"/>
        <v>865728</v>
      </c>
      <c r="AY21" s="885">
        <f t="shared" si="25"/>
        <v>80352</v>
      </c>
      <c r="AZ21" s="387">
        <f>AW21-AX21-AY21</f>
        <v>0</v>
      </c>
      <c r="BA21" s="596">
        <f t="shared" si="26"/>
        <v>-3480</v>
      </c>
      <c r="BB21" s="959"/>
      <c r="BC21" s="617">
        <f t="shared" si="12"/>
        <v>946080</v>
      </c>
      <c r="BD21" s="617">
        <f t="shared" si="27"/>
        <v>865728</v>
      </c>
      <c r="BE21" s="617">
        <f t="shared" si="5"/>
        <v>80352</v>
      </c>
      <c r="BF21" s="838"/>
      <c r="BG21" s="838">
        <f t="shared" si="6"/>
        <v>0</v>
      </c>
      <c r="BH21" s="838">
        <f t="shared" si="7"/>
        <v>0</v>
      </c>
      <c r="BI21" s="838">
        <f t="shared" si="8"/>
        <v>0</v>
      </c>
    </row>
    <row r="22" spans="1:61" s="767" customFormat="1" ht="18.75" customHeight="1" x14ac:dyDescent="0.2">
      <c r="A22" s="761"/>
      <c r="B22" s="761"/>
      <c r="C22" s="762" t="s">
        <v>1</v>
      </c>
      <c r="D22" s="763"/>
      <c r="E22" s="764"/>
      <c r="F22" s="765">
        <f>SUM(F8:F21)</f>
        <v>14</v>
      </c>
      <c r="G22" s="765"/>
      <c r="H22" s="765"/>
      <c r="I22" s="765"/>
      <c r="J22" s="765"/>
      <c r="K22" s="765"/>
      <c r="L22" s="765"/>
      <c r="M22" s="765"/>
      <c r="N22" s="765">
        <f>SUM(N8:N21)</f>
        <v>13147920</v>
      </c>
      <c r="O22" s="765"/>
      <c r="P22" s="765"/>
      <c r="Q22" s="765"/>
      <c r="R22" s="765"/>
      <c r="S22" s="765"/>
      <c r="T22" s="765"/>
      <c r="U22" s="765"/>
      <c r="V22" s="765"/>
      <c r="W22" s="765"/>
      <c r="X22" s="765"/>
      <c r="Y22" s="765"/>
      <c r="Z22" s="765"/>
      <c r="AA22" s="765"/>
      <c r="AB22" s="765"/>
      <c r="AC22" s="765"/>
      <c r="AD22" s="765"/>
      <c r="AE22" s="765"/>
      <c r="AF22" s="765"/>
      <c r="AG22" s="765"/>
      <c r="AH22" s="765"/>
      <c r="AI22" s="765"/>
      <c r="AJ22" s="765">
        <f>SUM(AJ8:AJ21)</f>
        <v>14</v>
      </c>
      <c r="AK22" s="895">
        <f>SUM(AK8:AK21)</f>
        <v>13147920</v>
      </c>
      <c r="AL22" s="812">
        <f>SUM(AL8:AL21)</f>
        <v>13147920</v>
      </c>
      <c r="AM22" s="895">
        <f>SUM(AM8:AM21)</f>
        <v>12052260</v>
      </c>
      <c r="AN22" s="895">
        <f>SUM(AN8:AN21)</f>
        <v>1095660</v>
      </c>
      <c r="AO22" s="766"/>
      <c r="AP22" s="764">
        <f>SUM(AP8:AP21)</f>
        <v>112224</v>
      </c>
      <c r="AQ22" s="764">
        <f>SUM(AQ8:AQ21)</f>
        <v>10416</v>
      </c>
      <c r="AR22" s="764">
        <f>SUM(AR8:AR21)</f>
        <v>122640</v>
      </c>
      <c r="AS22" s="926">
        <f>SUM(AS8:AS21)</f>
        <v>122640</v>
      </c>
      <c r="AT22" s="826">
        <f>AV22/AR22</f>
        <v>106.85714285714286</v>
      </c>
      <c r="AU22" s="942">
        <f>AW22/AS22</f>
        <v>106.78571428571429</v>
      </c>
      <c r="AV22" s="911">
        <f>SUM(AV8:AV21)</f>
        <v>13104960</v>
      </c>
      <c r="AW22" s="886">
        <f>SUM(AW8:AW21)</f>
        <v>13096200</v>
      </c>
      <c r="AX22" s="886">
        <f>SUM(AX8:AX21)</f>
        <v>11983920</v>
      </c>
      <c r="AY22" s="886">
        <f>SUM(AY8:AY21)</f>
        <v>1112280</v>
      </c>
      <c r="AZ22" s="847"/>
      <c r="BA22" s="183"/>
      <c r="BB22" s="960"/>
      <c r="BC22" s="969">
        <f t="shared" si="12"/>
        <v>13096200</v>
      </c>
      <c r="BD22" s="969">
        <f t="shared" si="13"/>
        <v>11983920</v>
      </c>
      <c r="BE22" s="969">
        <f t="shared" si="5"/>
        <v>1112280</v>
      </c>
      <c r="BF22" s="968"/>
      <c r="BG22" s="968">
        <f t="shared" si="6"/>
        <v>0</v>
      </c>
      <c r="BH22" s="968">
        <f t="shared" si="7"/>
        <v>0</v>
      </c>
      <c r="BI22" s="968">
        <f t="shared" si="8"/>
        <v>0</v>
      </c>
    </row>
    <row r="23" spans="1:61" s="196" customFormat="1" ht="18.75" customHeight="1" x14ac:dyDescent="0.2">
      <c r="B23" s="1072" t="s">
        <v>96</v>
      </c>
      <c r="C23" s="1072"/>
      <c r="D23" s="1072"/>
      <c r="E23" s="1072"/>
      <c r="F23" s="1072"/>
      <c r="G23" s="208"/>
      <c r="H23" s="656"/>
      <c r="I23" s="208"/>
      <c r="J23" s="656"/>
      <c r="K23" s="680"/>
      <c r="L23" s="729"/>
      <c r="M23" s="200"/>
      <c r="N23" s="185"/>
      <c r="O23" s="672"/>
      <c r="P23" s="179"/>
      <c r="Q23" s="179"/>
      <c r="R23" s="179"/>
      <c r="S23" s="179"/>
      <c r="T23" s="194"/>
      <c r="U23" s="194"/>
      <c r="V23" s="194"/>
      <c r="W23" s="194"/>
      <c r="X23" s="194"/>
      <c r="Y23" s="622"/>
      <c r="Z23" s="194"/>
      <c r="AA23" s="194"/>
      <c r="AB23" s="194"/>
      <c r="AC23" s="194"/>
      <c r="AD23" s="194"/>
      <c r="AE23" s="194"/>
      <c r="AF23" s="194"/>
      <c r="AG23" s="194"/>
      <c r="AH23" s="194"/>
      <c r="AI23" s="596"/>
      <c r="AJ23" s="596"/>
      <c r="AK23" s="831"/>
      <c r="AL23" s="200"/>
      <c r="AM23" s="199"/>
      <c r="AN23" s="199"/>
      <c r="AO23" s="184"/>
      <c r="AP23" s="596"/>
      <c r="AQ23" s="596"/>
      <c r="AR23" s="596"/>
      <c r="AS23" s="927"/>
      <c r="AT23" s="837"/>
      <c r="AU23" s="943"/>
      <c r="AV23" s="836"/>
      <c r="AW23" s="200"/>
      <c r="AX23" s="200"/>
      <c r="AY23" s="200"/>
      <c r="AZ23" s="850"/>
      <c r="BA23" s="183"/>
      <c r="BB23" s="959"/>
      <c r="BC23" s="839"/>
      <c r="BD23" s="839"/>
      <c r="BE23" s="839"/>
      <c r="BF23" s="839"/>
      <c r="BG23" s="839"/>
      <c r="BH23" s="839"/>
    </row>
    <row r="24" spans="1:61" s="196" customFormat="1" ht="18.75" customHeight="1" x14ac:dyDescent="0.2">
      <c r="A24" s="726">
        <v>9</v>
      </c>
      <c r="B24" s="726">
        <v>9</v>
      </c>
      <c r="C24" s="462" t="s">
        <v>95</v>
      </c>
      <c r="D24" s="738" t="s">
        <v>94</v>
      </c>
      <c r="E24" s="453"/>
      <c r="F24" s="198"/>
      <c r="G24" s="198"/>
      <c r="H24" s="657"/>
      <c r="I24" s="198"/>
      <c r="J24" s="671"/>
      <c r="K24" s="200"/>
      <c r="L24" s="673"/>
      <c r="M24" s="200"/>
      <c r="N24" s="185"/>
      <c r="O24" s="658" t="s">
        <v>198</v>
      </c>
      <c r="P24" s="311">
        <v>1</v>
      </c>
      <c r="Q24" s="199">
        <v>93700</v>
      </c>
      <c r="R24" s="658">
        <v>1.04</v>
      </c>
      <c r="S24" s="199">
        <v>97450</v>
      </c>
      <c r="T24" s="658">
        <v>1.0403</v>
      </c>
      <c r="U24" s="200">
        <v>101380</v>
      </c>
      <c r="V24" s="673">
        <v>1.02</v>
      </c>
      <c r="W24" s="200">
        <v>103410</v>
      </c>
      <c r="X24" s="315">
        <v>1.1000000000000001</v>
      </c>
      <c r="Y24" s="185">
        <v>1365012.0000000002</v>
      </c>
      <c r="Z24" s="315"/>
      <c r="AA24" s="315"/>
      <c r="AB24" s="315"/>
      <c r="AC24" s="315"/>
      <c r="AD24" s="315"/>
      <c r="AE24" s="315"/>
      <c r="AF24" s="315"/>
      <c r="AG24" s="315"/>
      <c r="AH24" s="315"/>
      <c r="AI24" s="318"/>
      <c r="AJ24" s="199">
        <f t="shared" ref="AJ24:AJ44" si="28">F24+P24+AA24</f>
        <v>1</v>
      </c>
      <c r="AK24" s="831">
        <v>1365012.0000000002</v>
      </c>
      <c r="AL24" s="200">
        <f>AK24</f>
        <v>1365012.0000000002</v>
      </c>
      <c r="AM24" s="199">
        <f>AL24/12*11</f>
        <v>1251261.0000000002</v>
      </c>
      <c r="AN24" s="199">
        <f>AL24/12</f>
        <v>113751.00000000001</v>
      </c>
      <c r="AO24" s="184"/>
      <c r="AP24" s="318">
        <f t="shared" ref="AP24:AP33" si="29">24*(365-31)*1</f>
        <v>8016</v>
      </c>
      <c r="AQ24" s="318">
        <f t="shared" ref="AQ24:AQ33" si="30">24*31</f>
        <v>744</v>
      </c>
      <c r="AR24" s="318">
        <f t="shared" ref="AR24:AR33" si="31">SUM(AP24:AQ24)</f>
        <v>8760</v>
      </c>
      <c r="AS24" s="925">
        <f>AR24</f>
        <v>8760</v>
      </c>
      <c r="AT24" s="836">
        <v>155</v>
      </c>
      <c r="AU24" s="941">
        <v>155</v>
      </c>
      <c r="AV24" s="836">
        <f t="shared" ref="AV24:AV44" si="32">AT24*AR24</f>
        <v>1357800</v>
      </c>
      <c r="AW24" s="885">
        <f t="shared" ref="AW24" si="33">AV24</f>
        <v>1357800</v>
      </c>
      <c r="AX24" s="885">
        <f>AU24*AP24</f>
        <v>1242480</v>
      </c>
      <c r="AY24" s="885">
        <f>AW24-AX24</f>
        <v>115320</v>
      </c>
      <c r="AZ24" s="387">
        <f>AW24-AX24-AY24</f>
        <v>0</v>
      </c>
      <c r="BA24" s="596">
        <f>AW24-AL24</f>
        <v>-7212.0000000002328</v>
      </c>
      <c r="BB24" s="959">
        <v>1</v>
      </c>
      <c r="BC24" s="617">
        <f>AS24*AU24</f>
        <v>1357800</v>
      </c>
      <c r="BD24" s="617">
        <f>(AP24)*AU24</f>
        <v>1242480</v>
      </c>
      <c r="BE24" s="617">
        <f t="shared" ref="BE24" si="34">BC24-BD24</f>
        <v>115320</v>
      </c>
      <c r="BF24" s="838"/>
      <c r="BG24" s="838">
        <f t="shared" ref="BG24" si="35">BC24-AW24</f>
        <v>0</v>
      </c>
      <c r="BH24" s="838">
        <f t="shared" ref="BH24" si="36">BD24-AX24</f>
        <v>0</v>
      </c>
      <c r="BI24" s="838">
        <f t="shared" ref="BI24" si="37">BE24-AY24</f>
        <v>0</v>
      </c>
    </row>
    <row r="25" spans="1:61" s="196" customFormat="1" ht="18.75" customHeight="1" x14ac:dyDescent="0.2">
      <c r="A25" s="1041">
        <v>10</v>
      </c>
      <c r="B25" s="1041">
        <v>10</v>
      </c>
      <c r="C25" s="1042" t="s">
        <v>93</v>
      </c>
      <c r="D25" s="738" t="s">
        <v>92</v>
      </c>
      <c r="E25" s="453"/>
      <c r="F25" s="198"/>
      <c r="G25" s="198"/>
      <c r="H25" s="657"/>
      <c r="I25" s="198"/>
      <c r="J25" s="671"/>
      <c r="K25" s="200"/>
      <c r="L25" s="673"/>
      <c r="M25" s="200"/>
      <c r="N25" s="185"/>
      <c r="O25" s="658" t="s">
        <v>319</v>
      </c>
      <c r="P25" s="311">
        <v>1</v>
      </c>
      <c r="Q25" s="199">
        <v>88200</v>
      </c>
      <c r="R25" s="658">
        <v>1.04</v>
      </c>
      <c r="S25" s="199">
        <v>91730</v>
      </c>
      <c r="T25" s="658">
        <v>1.0403</v>
      </c>
      <c r="U25" s="200">
        <v>95430</v>
      </c>
      <c r="V25" s="673">
        <v>1.02</v>
      </c>
      <c r="W25" s="200">
        <v>97340</v>
      </c>
      <c r="X25" s="315">
        <v>1.05</v>
      </c>
      <c r="Y25" s="185">
        <v>1226484</v>
      </c>
      <c r="Z25" s="315"/>
      <c r="AA25" s="315"/>
      <c r="AB25" s="315"/>
      <c r="AC25" s="315"/>
      <c r="AD25" s="315"/>
      <c r="AE25" s="315"/>
      <c r="AF25" s="315"/>
      <c r="AG25" s="315"/>
      <c r="AH25" s="315"/>
      <c r="AI25" s="318"/>
      <c r="AJ25" s="199">
        <f t="shared" si="28"/>
        <v>1</v>
      </c>
      <c r="AK25" s="831">
        <v>1226484</v>
      </c>
      <c r="AL25" s="1053">
        <f>AK25+AK26</f>
        <v>2103084</v>
      </c>
      <c r="AM25" s="1052">
        <f>AL25/12*11</f>
        <v>1927827</v>
      </c>
      <c r="AN25" s="1052">
        <f>AL25/12</f>
        <v>175257</v>
      </c>
      <c r="AO25" s="184"/>
      <c r="AP25" s="318">
        <f t="shared" si="29"/>
        <v>8016</v>
      </c>
      <c r="AQ25" s="318">
        <f t="shared" si="30"/>
        <v>744</v>
      </c>
      <c r="AR25" s="318">
        <f t="shared" si="31"/>
        <v>8760</v>
      </c>
      <c r="AS25" s="1112">
        <f>AR25+AR26</f>
        <v>17520</v>
      </c>
      <c r="AT25" s="836">
        <v>140</v>
      </c>
      <c r="AU25" s="1102">
        <v>120</v>
      </c>
      <c r="AV25" s="836">
        <f t="shared" si="32"/>
        <v>1226400</v>
      </c>
      <c r="AW25" s="1096">
        <f>AU25*AS25</f>
        <v>2102400</v>
      </c>
      <c r="AX25" s="1096">
        <f t="shared" ref="AX25" si="38">AU25*(AP25+AP26)</f>
        <v>1923840</v>
      </c>
      <c r="AY25" s="1096">
        <f t="shared" ref="AY25" si="39">AW25-AX25</f>
        <v>178560</v>
      </c>
      <c r="AZ25" s="1097">
        <f>AW25-AX25-AY25</f>
        <v>0</v>
      </c>
      <c r="BA25" s="1103">
        <f>AW25-AL25</f>
        <v>-684</v>
      </c>
      <c r="BB25" s="959">
        <v>2</v>
      </c>
      <c r="BC25" s="617">
        <f>AS25*AU25</f>
        <v>2102400</v>
      </c>
      <c r="BD25" s="617">
        <f>(AP25+AP26)*AU25</f>
        <v>1923840</v>
      </c>
      <c r="BE25" s="617">
        <f>BC25-BD25</f>
        <v>178560</v>
      </c>
      <c r="BF25" s="838"/>
      <c r="BG25" s="838">
        <f>BC25-AW25</f>
        <v>0</v>
      </c>
      <c r="BH25" s="838">
        <f>BD25-AX25</f>
        <v>0</v>
      </c>
      <c r="BI25" s="838">
        <f>BE25-AY25</f>
        <v>0</v>
      </c>
    </row>
    <row r="26" spans="1:61" s="196" customFormat="1" ht="18.75" customHeight="1" x14ac:dyDescent="0.2">
      <c r="A26" s="1041"/>
      <c r="B26" s="1041"/>
      <c r="C26" s="1042"/>
      <c r="D26" s="738" t="s">
        <v>318</v>
      </c>
      <c r="E26" s="657" t="s">
        <v>186</v>
      </c>
      <c r="F26" s="198">
        <v>1</v>
      </c>
      <c r="G26" s="198"/>
      <c r="H26" s="657"/>
      <c r="I26" s="198"/>
      <c r="J26" s="671"/>
      <c r="K26" s="200">
        <v>71620</v>
      </c>
      <c r="L26" s="673">
        <v>1.02</v>
      </c>
      <c r="M26" s="200">
        <v>73050</v>
      </c>
      <c r="N26" s="185">
        <v>876600</v>
      </c>
      <c r="O26" s="658"/>
      <c r="P26" s="311"/>
      <c r="Q26" s="199"/>
      <c r="R26" s="658"/>
      <c r="S26" s="199"/>
      <c r="T26" s="658"/>
      <c r="U26" s="200"/>
      <c r="V26" s="200"/>
      <c r="W26" s="200"/>
      <c r="X26" s="315"/>
      <c r="Y26" s="185"/>
      <c r="Z26" s="315"/>
      <c r="AA26" s="315"/>
      <c r="AB26" s="315"/>
      <c r="AC26" s="315"/>
      <c r="AD26" s="315"/>
      <c r="AE26" s="315"/>
      <c r="AF26" s="315"/>
      <c r="AG26" s="315"/>
      <c r="AH26" s="315"/>
      <c r="AI26" s="318"/>
      <c r="AJ26" s="199">
        <f t="shared" si="28"/>
        <v>1</v>
      </c>
      <c r="AK26" s="831">
        <v>876600</v>
      </c>
      <c r="AL26" s="1053"/>
      <c r="AM26" s="1052"/>
      <c r="AN26" s="1052"/>
      <c r="AO26" s="184"/>
      <c r="AP26" s="318">
        <f t="shared" si="29"/>
        <v>8016</v>
      </c>
      <c r="AQ26" s="318">
        <f t="shared" si="30"/>
        <v>744</v>
      </c>
      <c r="AR26" s="318">
        <f t="shared" si="31"/>
        <v>8760</v>
      </c>
      <c r="AS26" s="1112"/>
      <c r="AT26" s="846">
        <v>100</v>
      </c>
      <c r="AU26" s="1102"/>
      <c r="AV26" s="836">
        <f t="shared" si="32"/>
        <v>876000</v>
      </c>
      <c r="AW26" s="1096"/>
      <c r="AX26" s="1096"/>
      <c r="AY26" s="1096"/>
      <c r="AZ26" s="1097"/>
      <c r="BA26" s="1103"/>
      <c r="BB26" s="959"/>
      <c r="BC26" s="839"/>
      <c r="BD26" s="839"/>
      <c r="BE26" s="839"/>
      <c r="BF26" s="839"/>
      <c r="BG26" s="839"/>
      <c r="BH26" s="839"/>
    </row>
    <row r="27" spans="1:61" s="196" customFormat="1" ht="18.75" customHeight="1" x14ac:dyDescent="0.2">
      <c r="A27" s="1041">
        <v>11</v>
      </c>
      <c r="B27" s="1041">
        <v>11</v>
      </c>
      <c r="C27" s="1042" t="s">
        <v>91</v>
      </c>
      <c r="D27" s="738" t="s">
        <v>179</v>
      </c>
      <c r="E27" s="453"/>
      <c r="F27" s="198"/>
      <c r="G27" s="198"/>
      <c r="H27" s="657"/>
      <c r="I27" s="198"/>
      <c r="J27" s="671"/>
      <c r="K27" s="200"/>
      <c r="L27" s="673"/>
      <c r="M27" s="200"/>
      <c r="N27" s="185"/>
      <c r="O27" s="658" t="s">
        <v>198</v>
      </c>
      <c r="P27" s="311">
        <v>1</v>
      </c>
      <c r="Q27" s="199">
        <v>93700</v>
      </c>
      <c r="R27" s="658">
        <v>1.04</v>
      </c>
      <c r="S27" s="199">
        <v>97450</v>
      </c>
      <c r="T27" s="658">
        <v>1.0403</v>
      </c>
      <c r="U27" s="200">
        <v>101380</v>
      </c>
      <c r="V27" s="673">
        <v>1.02</v>
      </c>
      <c r="W27" s="200">
        <v>103410</v>
      </c>
      <c r="X27" s="315">
        <v>1.1000000000000001</v>
      </c>
      <c r="Y27" s="185">
        <v>1365012.0000000002</v>
      </c>
      <c r="Z27" s="315"/>
      <c r="AA27" s="315"/>
      <c r="AB27" s="315"/>
      <c r="AC27" s="315"/>
      <c r="AD27" s="315"/>
      <c r="AE27" s="315"/>
      <c r="AF27" s="315"/>
      <c r="AG27" s="315"/>
      <c r="AH27" s="315"/>
      <c r="AI27" s="318"/>
      <c r="AJ27" s="199">
        <f t="shared" si="28"/>
        <v>1</v>
      </c>
      <c r="AK27" s="831">
        <v>1365012.0000000002</v>
      </c>
      <c r="AL27" s="1053">
        <f>AK27+AK28</f>
        <v>2241612</v>
      </c>
      <c r="AM27" s="1052">
        <f>AL27/12*11</f>
        <v>2054811</v>
      </c>
      <c r="AN27" s="1052">
        <f>AL27/12</f>
        <v>186801</v>
      </c>
      <c r="AO27" s="184"/>
      <c r="AP27" s="318">
        <f t="shared" si="29"/>
        <v>8016</v>
      </c>
      <c r="AQ27" s="318">
        <f t="shared" si="30"/>
        <v>744</v>
      </c>
      <c r="AR27" s="318">
        <f t="shared" si="31"/>
        <v>8760</v>
      </c>
      <c r="AS27" s="1112">
        <f>AR27+AR28</f>
        <v>17520</v>
      </c>
      <c r="AT27" s="836">
        <v>155</v>
      </c>
      <c r="AU27" s="1102">
        <v>127</v>
      </c>
      <c r="AV27" s="836">
        <f t="shared" si="32"/>
        <v>1357800</v>
      </c>
      <c r="AW27" s="1096">
        <f t="shared" ref="AW27" si="40">AU27*AS27</f>
        <v>2225040</v>
      </c>
      <c r="AX27" s="1096">
        <f t="shared" ref="AX27" si="41">AU27*(AP27+AP28)</f>
        <v>2036064</v>
      </c>
      <c r="AY27" s="1096">
        <f t="shared" ref="AY27" si="42">AW27-AX27</f>
        <v>188976</v>
      </c>
      <c r="AZ27" s="1097">
        <f>AW27-AX27-AY27</f>
        <v>0</v>
      </c>
      <c r="BA27" s="1103">
        <f>AW27-AL27</f>
        <v>-16572</v>
      </c>
      <c r="BB27" s="959">
        <v>2</v>
      </c>
      <c r="BC27" s="617">
        <f>AS27*AU27</f>
        <v>2225040</v>
      </c>
      <c r="BD27" s="617">
        <f>(AP27+AP28)*AU27</f>
        <v>2036064</v>
      </c>
      <c r="BE27" s="617">
        <f>BC27-BD27</f>
        <v>188976</v>
      </c>
      <c r="BF27" s="838"/>
      <c r="BG27" s="838">
        <f>BC27-AW27</f>
        <v>0</v>
      </c>
      <c r="BH27" s="838">
        <f>BD27-AX27</f>
        <v>0</v>
      </c>
      <c r="BI27" s="838">
        <f>BE27-AY27</f>
        <v>0</v>
      </c>
    </row>
    <row r="28" spans="1:61" s="196" customFormat="1" ht="18.75" customHeight="1" x14ac:dyDescent="0.2">
      <c r="A28" s="1041"/>
      <c r="B28" s="1041"/>
      <c r="C28" s="1042"/>
      <c r="D28" s="737" t="s">
        <v>284</v>
      </c>
      <c r="E28" s="453"/>
      <c r="F28" s="198"/>
      <c r="G28" s="198"/>
      <c r="H28" s="657"/>
      <c r="I28" s="198"/>
      <c r="J28" s="671"/>
      <c r="K28" s="200"/>
      <c r="L28" s="673"/>
      <c r="M28" s="200"/>
      <c r="N28" s="185"/>
      <c r="O28" s="658" t="s">
        <v>211</v>
      </c>
      <c r="P28" s="311">
        <v>1</v>
      </c>
      <c r="Q28" s="199">
        <v>66200</v>
      </c>
      <c r="R28" s="658">
        <v>1.04</v>
      </c>
      <c r="S28" s="199">
        <v>68850</v>
      </c>
      <c r="T28" s="658">
        <v>1.0403</v>
      </c>
      <c r="U28" s="200">
        <v>71620</v>
      </c>
      <c r="V28" s="673">
        <v>1.02</v>
      </c>
      <c r="W28" s="200">
        <v>73050</v>
      </c>
      <c r="X28" s="315">
        <v>1</v>
      </c>
      <c r="Y28" s="185">
        <v>876600</v>
      </c>
      <c r="Z28" s="315"/>
      <c r="AA28" s="315"/>
      <c r="AB28" s="315"/>
      <c r="AC28" s="315"/>
      <c r="AD28" s="315"/>
      <c r="AE28" s="315"/>
      <c r="AF28" s="315"/>
      <c r="AG28" s="315"/>
      <c r="AH28" s="315"/>
      <c r="AI28" s="318"/>
      <c r="AJ28" s="199">
        <f t="shared" si="28"/>
        <v>1</v>
      </c>
      <c r="AK28" s="831">
        <v>876600</v>
      </c>
      <c r="AL28" s="1053"/>
      <c r="AM28" s="1052"/>
      <c r="AN28" s="1052"/>
      <c r="AO28" s="184"/>
      <c r="AP28" s="318">
        <f t="shared" si="29"/>
        <v>8016</v>
      </c>
      <c r="AQ28" s="318">
        <f t="shared" si="30"/>
        <v>744</v>
      </c>
      <c r="AR28" s="318">
        <f t="shared" si="31"/>
        <v>8760</v>
      </c>
      <c r="AS28" s="1112"/>
      <c r="AT28" s="846">
        <v>100</v>
      </c>
      <c r="AU28" s="1102"/>
      <c r="AV28" s="836">
        <f t="shared" si="32"/>
        <v>876000</v>
      </c>
      <c r="AW28" s="1096"/>
      <c r="AX28" s="1096"/>
      <c r="AY28" s="1096"/>
      <c r="AZ28" s="1097"/>
      <c r="BA28" s="1103"/>
      <c r="BB28" s="959"/>
      <c r="BC28" s="839"/>
      <c r="BD28" s="839"/>
      <c r="BE28" s="839"/>
      <c r="BF28" s="839"/>
      <c r="BG28" s="839"/>
      <c r="BH28" s="839"/>
    </row>
    <row r="29" spans="1:61" s="196" customFormat="1" ht="18.75" customHeight="1" x14ac:dyDescent="0.2">
      <c r="A29" s="726">
        <v>12</v>
      </c>
      <c r="B29" s="726">
        <v>12</v>
      </c>
      <c r="C29" s="462" t="s">
        <v>90</v>
      </c>
      <c r="D29" s="738" t="s">
        <v>180</v>
      </c>
      <c r="E29" s="453"/>
      <c r="F29" s="198"/>
      <c r="G29" s="198"/>
      <c r="H29" s="657"/>
      <c r="I29" s="198"/>
      <c r="J29" s="671"/>
      <c r="K29" s="200"/>
      <c r="L29" s="673"/>
      <c r="M29" s="200"/>
      <c r="N29" s="185"/>
      <c r="O29" s="658" t="s">
        <v>319</v>
      </c>
      <c r="P29" s="311">
        <v>1</v>
      </c>
      <c r="Q29" s="199">
        <v>82700</v>
      </c>
      <c r="R29" s="658">
        <v>1.04</v>
      </c>
      <c r="S29" s="199">
        <v>86000</v>
      </c>
      <c r="T29" s="658">
        <v>1.0403</v>
      </c>
      <c r="U29" s="711">
        <v>95430</v>
      </c>
      <c r="V29" s="673">
        <v>1.02</v>
      </c>
      <c r="W29" s="200">
        <v>97340</v>
      </c>
      <c r="X29" s="315">
        <v>1.05</v>
      </c>
      <c r="Y29" s="185">
        <v>1226484</v>
      </c>
      <c r="Z29" s="315"/>
      <c r="AA29" s="315"/>
      <c r="AB29" s="315"/>
      <c r="AC29" s="315"/>
      <c r="AD29" s="315"/>
      <c r="AE29" s="315"/>
      <c r="AF29" s="315"/>
      <c r="AG29" s="315"/>
      <c r="AH29" s="315"/>
      <c r="AI29" s="318"/>
      <c r="AJ29" s="199">
        <f t="shared" si="28"/>
        <v>1</v>
      </c>
      <c r="AK29" s="831">
        <v>1226484</v>
      </c>
      <c r="AL29" s="200">
        <f t="shared" ref="AL29:AL30" si="43">AK29</f>
        <v>1226484</v>
      </c>
      <c r="AM29" s="199">
        <f>AL29/12*11</f>
        <v>1124277</v>
      </c>
      <c r="AN29" s="199">
        <f>AL29/12</f>
        <v>102207</v>
      </c>
      <c r="AO29" s="184"/>
      <c r="AP29" s="318">
        <f t="shared" si="29"/>
        <v>8016</v>
      </c>
      <c r="AQ29" s="318">
        <f t="shared" si="30"/>
        <v>744</v>
      </c>
      <c r="AR29" s="318">
        <f t="shared" si="31"/>
        <v>8760</v>
      </c>
      <c r="AS29" s="925">
        <f t="shared" ref="AS29:AS30" si="44">AR29</f>
        <v>8760</v>
      </c>
      <c r="AT29" s="836">
        <v>140</v>
      </c>
      <c r="AU29" s="941">
        <v>140</v>
      </c>
      <c r="AV29" s="836">
        <f t="shared" si="32"/>
        <v>1226400</v>
      </c>
      <c r="AW29" s="885">
        <f t="shared" ref="AW29:AW30" si="45">AV29</f>
        <v>1226400</v>
      </c>
      <c r="AX29" s="885">
        <f t="shared" ref="AX29:AX30" si="46">AU29*AP29</f>
        <v>1122240</v>
      </c>
      <c r="AY29" s="885">
        <f t="shared" ref="AY29:AY30" si="47">AW29-AX29</f>
        <v>104160</v>
      </c>
      <c r="AZ29" s="387">
        <f t="shared" ref="AZ29:AZ30" si="48">AW29-AX29-AY29</f>
        <v>0</v>
      </c>
      <c r="BA29" s="596">
        <f t="shared" ref="BA29:BA30" si="49">AW29-AL29</f>
        <v>-84</v>
      </c>
      <c r="BB29" s="959">
        <v>1</v>
      </c>
      <c r="BC29" s="617">
        <f>AS29*AU29</f>
        <v>1226400</v>
      </c>
      <c r="BD29" s="617">
        <f>(AP29)*AU29</f>
        <v>1122240</v>
      </c>
      <c r="BE29" s="617">
        <f t="shared" ref="BE29" si="50">BC29-BD29</f>
        <v>104160</v>
      </c>
      <c r="BF29" s="838"/>
      <c r="BG29" s="838">
        <f t="shared" ref="BG29" si="51">BC29-AW29</f>
        <v>0</v>
      </c>
      <c r="BH29" s="838">
        <f t="shared" ref="BH29" si="52">BD29-AX29</f>
        <v>0</v>
      </c>
      <c r="BI29" s="838">
        <f t="shared" ref="BI29" si="53">BE29-AY29</f>
        <v>0</v>
      </c>
    </row>
    <row r="30" spans="1:61" s="196" customFormat="1" ht="18.75" customHeight="1" x14ac:dyDescent="0.2">
      <c r="A30" s="726">
        <v>13</v>
      </c>
      <c r="B30" s="726">
        <v>13</v>
      </c>
      <c r="C30" s="462" t="s">
        <v>89</v>
      </c>
      <c r="D30" s="738" t="s">
        <v>88</v>
      </c>
      <c r="E30" s="453"/>
      <c r="F30" s="198"/>
      <c r="G30" s="198"/>
      <c r="H30" s="657"/>
      <c r="I30" s="198"/>
      <c r="J30" s="671"/>
      <c r="K30" s="200"/>
      <c r="L30" s="673"/>
      <c r="M30" s="200"/>
      <c r="N30" s="185"/>
      <c r="O30" s="658" t="s">
        <v>198</v>
      </c>
      <c r="P30" s="311">
        <v>1</v>
      </c>
      <c r="Q30" s="199">
        <v>93700</v>
      </c>
      <c r="R30" s="658">
        <v>1.04</v>
      </c>
      <c r="S30" s="199">
        <v>97450</v>
      </c>
      <c r="T30" s="658">
        <v>1.0403</v>
      </c>
      <c r="U30" s="200">
        <v>101380</v>
      </c>
      <c r="V30" s="673">
        <v>1.02</v>
      </c>
      <c r="W30" s="200">
        <v>103410</v>
      </c>
      <c r="X30" s="315">
        <v>1.1000000000000001</v>
      </c>
      <c r="Y30" s="185">
        <v>1365012.0000000002</v>
      </c>
      <c r="Z30" s="315"/>
      <c r="AA30" s="315"/>
      <c r="AB30" s="315"/>
      <c r="AC30" s="315"/>
      <c r="AD30" s="315"/>
      <c r="AE30" s="315"/>
      <c r="AF30" s="315"/>
      <c r="AG30" s="315"/>
      <c r="AH30" s="315"/>
      <c r="AI30" s="318"/>
      <c r="AJ30" s="199">
        <f t="shared" si="28"/>
        <v>1</v>
      </c>
      <c r="AK30" s="831">
        <v>1365012.0000000002</v>
      </c>
      <c r="AL30" s="200">
        <f t="shared" si="43"/>
        <v>1365012.0000000002</v>
      </c>
      <c r="AM30" s="199">
        <f>AL30/12*11</f>
        <v>1251261.0000000002</v>
      </c>
      <c r="AN30" s="199">
        <f>AL30/12</f>
        <v>113751.00000000001</v>
      </c>
      <c r="AO30" s="184"/>
      <c r="AP30" s="318">
        <f t="shared" si="29"/>
        <v>8016</v>
      </c>
      <c r="AQ30" s="318">
        <f t="shared" si="30"/>
        <v>744</v>
      </c>
      <c r="AR30" s="318">
        <f t="shared" si="31"/>
        <v>8760</v>
      </c>
      <c r="AS30" s="925">
        <f t="shared" si="44"/>
        <v>8760</v>
      </c>
      <c r="AT30" s="836">
        <v>155</v>
      </c>
      <c r="AU30" s="941">
        <v>155</v>
      </c>
      <c r="AV30" s="836">
        <f t="shared" si="32"/>
        <v>1357800</v>
      </c>
      <c r="AW30" s="885">
        <f t="shared" si="45"/>
        <v>1357800</v>
      </c>
      <c r="AX30" s="885">
        <f t="shared" si="46"/>
        <v>1242480</v>
      </c>
      <c r="AY30" s="885">
        <f t="shared" si="47"/>
        <v>115320</v>
      </c>
      <c r="AZ30" s="387">
        <f t="shared" si="48"/>
        <v>0</v>
      </c>
      <c r="BA30" s="596">
        <f t="shared" si="49"/>
        <v>-7212.0000000002328</v>
      </c>
      <c r="BB30" s="959">
        <v>1</v>
      </c>
      <c r="BC30" s="617">
        <f>AS30*AU30</f>
        <v>1357800</v>
      </c>
      <c r="BD30" s="617">
        <f>(AP30)*AU30</f>
        <v>1242480</v>
      </c>
      <c r="BE30" s="617">
        <f t="shared" ref="BE30:BE31" si="54">BC30-BD30</f>
        <v>115320</v>
      </c>
      <c r="BF30" s="838"/>
      <c r="BG30" s="838">
        <f t="shared" ref="BG30" si="55">BC30-AW30</f>
        <v>0</v>
      </c>
      <c r="BH30" s="838">
        <f t="shared" ref="BH30" si="56">BD30-AX30</f>
        <v>0</v>
      </c>
      <c r="BI30" s="838">
        <f t="shared" ref="BI30" si="57">BE30-AY30</f>
        <v>0</v>
      </c>
    </row>
    <row r="31" spans="1:61" s="196" customFormat="1" ht="18.75" customHeight="1" x14ac:dyDescent="0.2">
      <c r="A31" s="1041">
        <v>14</v>
      </c>
      <c r="B31" s="1041">
        <v>14</v>
      </c>
      <c r="C31" s="1042" t="s">
        <v>87</v>
      </c>
      <c r="D31" s="738" t="s">
        <v>85</v>
      </c>
      <c r="E31" s="657" t="s">
        <v>185</v>
      </c>
      <c r="F31" s="198">
        <v>1</v>
      </c>
      <c r="G31" s="198">
        <v>71700</v>
      </c>
      <c r="H31" s="658">
        <v>1.04</v>
      </c>
      <c r="I31" s="198">
        <v>74570</v>
      </c>
      <c r="J31" s="671">
        <v>1.0403</v>
      </c>
      <c r="K31" s="200">
        <v>77580</v>
      </c>
      <c r="L31" s="673">
        <v>1.02</v>
      </c>
      <c r="M31" s="200">
        <v>79130</v>
      </c>
      <c r="N31" s="185">
        <v>949560</v>
      </c>
      <c r="O31" s="315"/>
      <c r="P31" s="311"/>
      <c r="Q31" s="199"/>
      <c r="R31" s="658"/>
      <c r="S31" s="199"/>
      <c r="T31" s="658"/>
      <c r="U31" s="200"/>
      <c r="V31" s="200"/>
      <c r="W31" s="200"/>
      <c r="X31" s="315"/>
      <c r="Y31" s="185"/>
      <c r="Z31" s="315"/>
      <c r="AA31" s="315"/>
      <c r="AB31" s="315"/>
      <c r="AC31" s="315"/>
      <c r="AD31" s="315"/>
      <c r="AE31" s="315"/>
      <c r="AF31" s="315"/>
      <c r="AG31" s="315"/>
      <c r="AH31" s="315"/>
      <c r="AI31" s="318"/>
      <c r="AJ31" s="199">
        <f t="shared" si="28"/>
        <v>1</v>
      </c>
      <c r="AK31" s="831">
        <v>949560</v>
      </c>
      <c r="AL31" s="1053">
        <f>AK31+AK32+AK33+AK34+AK35+AK36</f>
        <v>5101026</v>
      </c>
      <c r="AM31" s="1052">
        <f>AL31/12*11</f>
        <v>4675940.5</v>
      </c>
      <c r="AN31" s="1052">
        <f>AL31/12</f>
        <v>425085.5</v>
      </c>
      <c r="AO31" s="184"/>
      <c r="AP31" s="318">
        <f t="shared" si="29"/>
        <v>8016</v>
      </c>
      <c r="AQ31" s="318">
        <f t="shared" si="30"/>
        <v>744</v>
      </c>
      <c r="AR31" s="318">
        <f t="shared" si="31"/>
        <v>8760</v>
      </c>
      <c r="AS31" s="1112">
        <f>AR31+AR32+AR33+AR34+AR35+AR36</f>
        <v>43800</v>
      </c>
      <c r="AT31" s="836">
        <v>108</v>
      </c>
      <c r="AU31" s="1102">
        <v>116</v>
      </c>
      <c r="AV31" s="836">
        <f t="shared" si="32"/>
        <v>946080</v>
      </c>
      <c r="AW31" s="1096">
        <f>AU31*AS31</f>
        <v>5080800</v>
      </c>
      <c r="AX31" s="1096">
        <f>AU31*(AP31+AP32+AP33+AP34+AP35+AP36)</f>
        <v>4649280</v>
      </c>
      <c r="AY31" s="1096">
        <f>AW31-AX31</f>
        <v>431520</v>
      </c>
      <c r="AZ31" s="1104">
        <f>AW31-AX31-AY31</f>
        <v>0</v>
      </c>
      <c r="BA31" s="1103">
        <f>AW31-AL31</f>
        <v>-20226</v>
      </c>
      <c r="BB31" s="959">
        <v>6</v>
      </c>
      <c r="BC31" s="617">
        <f>AS31*AU31</f>
        <v>5080800</v>
      </c>
      <c r="BD31" s="617">
        <f>(AP31+AP32+AP33+AP34+AP35+AP36)*AU31</f>
        <v>4649280</v>
      </c>
      <c r="BE31" s="617">
        <f t="shared" si="54"/>
        <v>431520</v>
      </c>
      <c r="BF31" s="839"/>
      <c r="BG31" s="838">
        <f t="shared" ref="BG31" si="58">BC31-AW31</f>
        <v>0</v>
      </c>
      <c r="BH31" s="838">
        <f t="shared" ref="BH31" si="59">BD31-AX31</f>
        <v>0</v>
      </c>
      <c r="BI31" s="838">
        <f t="shared" ref="BI31" si="60">BE31-AY31</f>
        <v>0</v>
      </c>
    </row>
    <row r="32" spans="1:61" s="196" customFormat="1" ht="18.75" customHeight="1" x14ac:dyDescent="0.2">
      <c r="A32" s="1041"/>
      <c r="B32" s="1041"/>
      <c r="C32" s="1042"/>
      <c r="D32" s="738" t="s">
        <v>239</v>
      </c>
      <c r="E32" s="657" t="s">
        <v>185</v>
      </c>
      <c r="F32" s="198">
        <v>1</v>
      </c>
      <c r="G32" s="198">
        <v>71700</v>
      </c>
      <c r="H32" s="658">
        <v>1.04</v>
      </c>
      <c r="I32" s="198">
        <v>74570</v>
      </c>
      <c r="J32" s="671">
        <v>1.0403</v>
      </c>
      <c r="K32" s="200">
        <v>77580</v>
      </c>
      <c r="L32" s="673">
        <v>1.02</v>
      </c>
      <c r="M32" s="200">
        <v>79130</v>
      </c>
      <c r="N32" s="185">
        <v>949560</v>
      </c>
      <c r="O32" s="315"/>
      <c r="P32" s="311"/>
      <c r="Q32" s="199"/>
      <c r="R32" s="658"/>
      <c r="S32" s="199"/>
      <c r="T32" s="658"/>
      <c r="U32" s="200"/>
      <c r="V32" s="200"/>
      <c r="W32" s="200"/>
      <c r="X32" s="315"/>
      <c r="Y32" s="185"/>
      <c r="Z32" s="315"/>
      <c r="AA32" s="315"/>
      <c r="AB32" s="315"/>
      <c r="AC32" s="315"/>
      <c r="AD32" s="315"/>
      <c r="AE32" s="315"/>
      <c r="AF32" s="315"/>
      <c r="AG32" s="315"/>
      <c r="AH32" s="315"/>
      <c r="AI32" s="318"/>
      <c r="AJ32" s="199">
        <f t="shared" si="28"/>
        <v>1</v>
      </c>
      <c r="AK32" s="831">
        <v>949560</v>
      </c>
      <c r="AL32" s="1053"/>
      <c r="AM32" s="1052"/>
      <c r="AN32" s="1052"/>
      <c r="AO32" s="184"/>
      <c r="AP32" s="318">
        <f t="shared" si="29"/>
        <v>8016</v>
      </c>
      <c r="AQ32" s="318">
        <f t="shared" si="30"/>
        <v>744</v>
      </c>
      <c r="AR32" s="318">
        <f t="shared" si="31"/>
        <v>8760</v>
      </c>
      <c r="AS32" s="1112"/>
      <c r="AT32" s="836">
        <v>108</v>
      </c>
      <c r="AU32" s="1102"/>
      <c r="AV32" s="836">
        <f t="shared" si="32"/>
        <v>946080</v>
      </c>
      <c r="AW32" s="1096"/>
      <c r="AX32" s="1096"/>
      <c r="AY32" s="1096"/>
      <c r="AZ32" s="1104"/>
      <c r="BA32" s="1103"/>
      <c r="BB32" s="959"/>
      <c r="BC32" s="839"/>
      <c r="BD32" s="839"/>
      <c r="BE32" s="839"/>
      <c r="BF32" s="839"/>
      <c r="BG32" s="839"/>
      <c r="BH32" s="839"/>
    </row>
    <row r="33" spans="1:61" s="196" customFormat="1" ht="18.75" customHeight="1" x14ac:dyDescent="0.2">
      <c r="A33" s="1041"/>
      <c r="B33" s="1041"/>
      <c r="C33" s="1042"/>
      <c r="D33" s="738" t="s">
        <v>320</v>
      </c>
      <c r="E33" s="657" t="s">
        <v>186</v>
      </c>
      <c r="F33" s="198">
        <v>1</v>
      </c>
      <c r="G33" s="198"/>
      <c r="H33" s="657"/>
      <c r="I33" s="198"/>
      <c r="J33" s="671"/>
      <c r="K33" s="200">
        <v>71620</v>
      </c>
      <c r="L33" s="673">
        <v>1.02</v>
      </c>
      <c r="M33" s="200">
        <v>73050</v>
      </c>
      <c r="N33" s="185">
        <v>876600</v>
      </c>
      <c r="O33" s="315"/>
      <c r="P33" s="311"/>
      <c r="Q33" s="199"/>
      <c r="R33" s="658"/>
      <c r="S33" s="199"/>
      <c r="T33" s="658"/>
      <c r="U33" s="200"/>
      <c r="V33" s="200"/>
      <c r="W33" s="200"/>
      <c r="X33" s="315"/>
      <c r="Y33" s="185"/>
      <c r="Z33" s="315"/>
      <c r="AA33" s="315"/>
      <c r="AB33" s="315"/>
      <c r="AC33" s="315"/>
      <c r="AD33" s="315"/>
      <c r="AE33" s="315"/>
      <c r="AF33" s="315"/>
      <c r="AG33" s="315"/>
      <c r="AH33" s="315"/>
      <c r="AI33" s="318"/>
      <c r="AJ33" s="199">
        <f t="shared" si="28"/>
        <v>1</v>
      </c>
      <c r="AK33" s="831">
        <v>876600</v>
      </c>
      <c r="AL33" s="1053"/>
      <c r="AM33" s="1052"/>
      <c r="AN33" s="1052"/>
      <c r="AO33" s="184"/>
      <c r="AP33" s="318">
        <f t="shared" si="29"/>
        <v>8016</v>
      </c>
      <c r="AQ33" s="318">
        <f t="shared" si="30"/>
        <v>744</v>
      </c>
      <c r="AR33" s="318">
        <f t="shared" si="31"/>
        <v>8760</v>
      </c>
      <c r="AS33" s="1112"/>
      <c r="AT33" s="846">
        <v>100</v>
      </c>
      <c r="AU33" s="1102"/>
      <c r="AV33" s="836">
        <f t="shared" si="32"/>
        <v>876000</v>
      </c>
      <c r="AW33" s="1096"/>
      <c r="AX33" s="1096"/>
      <c r="AY33" s="1096"/>
      <c r="AZ33" s="1104"/>
      <c r="BA33" s="1103"/>
      <c r="BB33" s="959"/>
      <c r="BC33" s="839"/>
      <c r="BD33" s="839"/>
      <c r="BE33" s="839"/>
      <c r="BF33" s="839"/>
      <c r="BG33" s="839"/>
      <c r="BH33" s="839"/>
    </row>
    <row r="34" spans="1:61" s="196" customFormat="1" ht="18" customHeight="1" x14ac:dyDescent="0.2">
      <c r="A34" s="1041"/>
      <c r="B34" s="1041"/>
      <c r="C34" s="1042"/>
      <c r="D34" s="738" t="s">
        <v>336</v>
      </c>
      <c r="E34" s="657"/>
      <c r="F34" s="198"/>
      <c r="G34" s="198"/>
      <c r="H34" s="657"/>
      <c r="I34" s="198"/>
      <c r="J34" s="671"/>
      <c r="K34" s="200"/>
      <c r="L34" s="673"/>
      <c r="M34" s="200"/>
      <c r="N34" s="185"/>
      <c r="O34" s="315"/>
      <c r="P34" s="311"/>
      <c r="Q34" s="199"/>
      <c r="R34" s="658"/>
      <c r="S34" s="199"/>
      <c r="T34" s="658"/>
      <c r="U34" s="200"/>
      <c r="V34" s="200"/>
      <c r="W34" s="200"/>
      <c r="X34" s="315"/>
      <c r="Y34" s="185"/>
      <c r="Z34" s="658" t="s">
        <v>211</v>
      </c>
      <c r="AA34" s="311">
        <v>0.5</v>
      </c>
      <c r="AB34" s="315"/>
      <c r="AC34" s="315"/>
      <c r="AD34" s="315"/>
      <c r="AE34" s="315"/>
      <c r="AF34" s="200">
        <v>71620</v>
      </c>
      <c r="AG34" s="673">
        <v>1.02</v>
      </c>
      <c r="AH34" s="200">
        <v>73050</v>
      </c>
      <c r="AI34" s="185">
        <v>438300</v>
      </c>
      <c r="AJ34" s="731">
        <f t="shared" si="28"/>
        <v>0.5</v>
      </c>
      <c r="AK34" s="831">
        <v>438300</v>
      </c>
      <c r="AL34" s="1053"/>
      <c r="AM34" s="1052"/>
      <c r="AN34" s="1052"/>
      <c r="AO34" s="184"/>
      <c r="AP34" s="874">
        <f>12*(365-31)*1</f>
        <v>4008</v>
      </c>
      <c r="AQ34" s="874">
        <f>12*31</f>
        <v>372</v>
      </c>
      <c r="AR34" s="874">
        <f t="shared" ref="AR34" si="61">SUM(AP34:AQ34)</f>
        <v>4380</v>
      </c>
      <c r="AS34" s="1112"/>
      <c r="AT34" s="846">
        <v>100</v>
      </c>
      <c r="AU34" s="1102"/>
      <c r="AV34" s="836">
        <f t="shared" si="32"/>
        <v>438000</v>
      </c>
      <c r="AW34" s="1096"/>
      <c r="AX34" s="1096"/>
      <c r="AY34" s="1096"/>
      <c r="AZ34" s="1104"/>
      <c r="BA34" s="1103"/>
      <c r="BB34" s="959"/>
      <c r="BC34" s="839"/>
      <c r="BD34" s="839"/>
      <c r="BE34" s="839"/>
      <c r="BF34" s="839"/>
      <c r="BG34" s="839"/>
      <c r="BH34" s="839"/>
    </row>
    <row r="35" spans="1:61" s="196" customFormat="1" ht="18.75" customHeight="1" x14ac:dyDescent="0.2">
      <c r="A35" s="1041"/>
      <c r="B35" s="1041"/>
      <c r="C35" s="1042"/>
      <c r="D35" s="738" t="s">
        <v>86</v>
      </c>
      <c r="E35" s="453"/>
      <c r="F35" s="198"/>
      <c r="G35" s="198"/>
      <c r="H35" s="657"/>
      <c r="I35" s="198"/>
      <c r="J35" s="671"/>
      <c r="K35" s="200"/>
      <c r="L35" s="673"/>
      <c r="M35" s="200"/>
      <c r="N35" s="185"/>
      <c r="O35" s="658" t="s">
        <v>319</v>
      </c>
      <c r="P35" s="311">
        <v>0.5</v>
      </c>
      <c r="Q35" s="199">
        <v>88200</v>
      </c>
      <c r="R35" s="658">
        <v>1.04</v>
      </c>
      <c r="S35" s="199">
        <v>91730</v>
      </c>
      <c r="T35" s="658">
        <v>1.0403</v>
      </c>
      <c r="U35" s="200">
        <v>95430</v>
      </c>
      <c r="V35" s="673">
        <v>1.02</v>
      </c>
      <c r="W35" s="200">
        <v>97340</v>
      </c>
      <c r="X35" s="315">
        <v>1</v>
      </c>
      <c r="Y35" s="185">
        <v>584040</v>
      </c>
      <c r="Z35" s="315"/>
      <c r="AA35" s="315"/>
      <c r="AB35" s="315"/>
      <c r="AC35" s="315"/>
      <c r="AD35" s="315"/>
      <c r="AE35" s="315"/>
      <c r="AF35" s="315"/>
      <c r="AG35" s="315"/>
      <c r="AH35" s="315"/>
      <c r="AI35" s="318"/>
      <c r="AJ35" s="731">
        <f t="shared" si="28"/>
        <v>0.5</v>
      </c>
      <c r="AK35" s="831">
        <v>584040</v>
      </c>
      <c r="AL35" s="1053"/>
      <c r="AM35" s="1052"/>
      <c r="AN35" s="1052"/>
      <c r="AO35" s="184"/>
      <c r="AP35" s="874">
        <f>12*(365-31)*1</f>
        <v>4008</v>
      </c>
      <c r="AQ35" s="874">
        <f>12*31</f>
        <v>372</v>
      </c>
      <c r="AR35" s="874">
        <f t="shared" ref="AR35" si="62">SUM(AP35:AQ35)</f>
        <v>4380</v>
      </c>
      <c r="AS35" s="1112"/>
      <c r="AT35" s="836">
        <v>133</v>
      </c>
      <c r="AU35" s="1102"/>
      <c r="AV35" s="836">
        <f t="shared" si="32"/>
        <v>582540</v>
      </c>
      <c r="AW35" s="1096"/>
      <c r="AX35" s="1096"/>
      <c r="AY35" s="1096"/>
      <c r="AZ35" s="1104"/>
      <c r="BA35" s="1103"/>
      <c r="BB35" s="959"/>
      <c r="BC35" s="839"/>
      <c r="BD35" s="839"/>
      <c r="BE35" s="839"/>
      <c r="BF35" s="839"/>
      <c r="BG35" s="839"/>
      <c r="BH35" s="839"/>
    </row>
    <row r="36" spans="1:61" s="196" customFormat="1" ht="18.75" customHeight="1" x14ac:dyDescent="0.2">
      <c r="A36" s="1041"/>
      <c r="B36" s="1041"/>
      <c r="C36" s="1042"/>
      <c r="D36" s="738" t="s">
        <v>86</v>
      </c>
      <c r="E36" s="453"/>
      <c r="F36" s="198"/>
      <c r="G36" s="198"/>
      <c r="H36" s="657"/>
      <c r="I36" s="198"/>
      <c r="J36" s="671"/>
      <c r="K36" s="200"/>
      <c r="L36" s="673"/>
      <c r="M36" s="200"/>
      <c r="N36" s="185"/>
      <c r="O36" s="658" t="s">
        <v>198</v>
      </c>
      <c r="P36" s="311">
        <v>1</v>
      </c>
      <c r="Q36" s="199">
        <v>93700</v>
      </c>
      <c r="R36" s="658">
        <v>1.04</v>
      </c>
      <c r="S36" s="199">
        <v>97450</v>
      </c>
      <c r="T36" s="658">
        <v>1.0403</v>
      </c>
      <c r="U36" s="200">
        <v>101380</v>
      </c>
      <c r="V36" s="673">
        <v>1.02</v>
      </c>
      <c r="W36" s="200">
        <v>103410</v>
      </c>
      <c r="X36" s="315">
        <v>1.05</v>
      </c>
      <c r="Y36" s="185">
        <v>1302966</v>
      </c>
      <c r="Z36" s="315"/>
      <c r="AA36" s="315"/>
      <c r="AB36" s="315"/>
      <c r="AC36" s="315"/>
      <c r="AD36" s="315"/>
      <c r="AE36" s="315"/>
      <c r="AF36" s="315"/>
      <c r="AG36" s="315"/>
      <c r="AH36" s="315"/>
      <c r="AI36" s="318"/>
      <c r="AJ36" s="199">
        <f t="shared" si="28"/>
        <v>1</v>
      </c>
      <c r="AK36" s="831">
        <v>1302966</v>
      </c>
      <c r="AL36" s="1053"/>
      <c r="AM36" s="1052"/>
      <c r="AN36" s="1052"/>
      <c r="AO36" s="184"/>
      <c r="AP36" s="318">
        <f t="shared" ref="AP36:AP44" si="63">24*(365-31)*1</f>
        <v>8016</v>
      </c>
      <c r="AQ36" s="318">
        <f t="shared" ref="AQ36:AQ44" si="64">24*31</f>
        <v>744</v>
      </c>
      <c r="AR36" s="318">
        <f t="shared" ref="AR36:AR44" si="65">SUM(AP36:AQ36)</f>
        <v>8760</v>
      </c>
      <c r="AS36" s="1112"/>
      <c r="AT36" s="836">
        <v>148</v>
      </c>
      <c r="AU36" s="1102"/>
      <c r="AV36" s="836">
        <f t="shared" si="32"/>
        <v>1296480</v>
      </c>
      <c r="AW36" s="1096"/>
      <c r="AX36" s="1096"/>
      <c r="AY36" s="1096"/>
      <c r="AZ36" s="1104"/>
      <c r="BA36" s="1103"/>
      <c r="BB36" s="959"/>
      <c r="BC36" s="839"/>
      <c r="BD36" s="839"/>
      <c r="BE36" s="839"/>
      <c r="BF36" s="839"/>
      <c r="BG36" s="839"/>
      <c r="BH36" s="839"/>
    </row>
    <row r="37" spans="1:61" s="196" customFormat="1" ht="18.75" customHeight="1" x14ac:dyDescent="0.2">
      <c r="A37" s="726">
        <v>15</v>
      </c>
      <c r="B37" s="726">
        <v>15</v>
      </c>
      <c r="C37" s="462" t="s">
        <v>77</v>
      </c>
      <c r="D37" s="738" t="s">
        <v>174</v>
      </c>
      <c r="E37" s="453"/>
      <c r="F37" s="198"/>
      <c r="G37" s="198"/>
      <c r="H37" s="657"/>
      <c r="I37" s="198"/>
      <c r="J37" s="671"/>
      <c r="K37" s="200"/>
      <c r="L37" s="673"/>
      <c r="M37" s="200"/>
      <c r="N37" s="185"/>
      <c r="O37" s="658" t="s">
        <v>198</v>
      </c>
      <c r="P37" s="311">
        <v>1</v>
      </c>
      <c r="Q37" s="199">
        <v>93700</v>
      </c>
      <c r="R37" s="658">
        <v>1.04</v>
      </c>
      <c r="S37" s="199">
        <v>97450</v>
      </c>
      <c r="T37" s="658">
        <v>1.0403</v>
      </c>
      <c r="U37" s="200">
        <v>101380</v>
      </c>
      <c r="V37" s="673">
        <v>1.02</v>
      </c>
      <c r="W37" s="200">
        <v>103410</v>
      </c>
      <c r="X37" s="315">
        <v>1.1000000000000001</v>
      </c>
      <c r="Y37" s="185">
        <v>1365012.0000000002</v>
      </c>
      <c r="Z37" s="315"/>
      <c r="AA37" s="315"/>
      <c r="AB37" s="315"/>
      <c r="AC37" s="315"/>
      <c r="AD37" s="315"/>
      <c r="AE37" s="315"/>
      <c r="AF37" s="315"/>
      <c r="AG37" s="315"/>
      <c r="AH37" s="315"/>
      <c r="AI37" s="318"/>
      <c r="AJ37" s="199">
        <f t="shared" si="28"/>
        <v>1</v>
      </c>
      <c r="AK37" s="831">
        <v>1365012.0000000002</v>
      </c>
      <c r="AL37" s="200">
        <f>AK37</f>
        <v>1365012.0000000002</v>
      </c>
      <c r="AM37" s="199">
        <f>AL37/12*11</f>
        <v>1251261.0000000002</v>
      </c>
      <c r="AN37" s="199">
        <f>AL37/12</f>
        <v>113751.00000000001</v>
      </c>
      <c r="AO37" s="184"/>
      <c r="AP37" s="318">
        <f t="shared" si="63"/>
        <v>8016</v>
      </c>
      <c r="AQ37" s="318">
        <f t="shared" si="64"/>
        <v>744</v>
      </c>
      <c r="AR37" s="318">
        <f t="shared" si="65"/>
        <v>8760</v>
      </c>
      <c r="AS37" s="925">
        <f>AR37</f>
        <v>8760</v>
      </c>
      <c r="AT37" s="836">
        <v>155</v>
      </c>
      <c r="AU37" s="941">
        <v>155</v>
      </c>
      <c r="AV37" s="836">
        <f t="shared" si="32"/>
        <v>1357800</v>
      </c>
      <c r="AW37" s="885">
        <f>AV37</f>
        <v>1357800</v>
      </c>
      <c r="AX37" s="885">
        <f>AU37*AP37</f>
        <v>1242480</v>
      </c>
      <c r="AY37" s="885">
        <f>AW37-AX37</f>
        <v>115320</v>
      </c>
      <c r="AZ37" s="387">
        <f>AW37-AX37-AY37</f>
        <v>0</v>
      </c>
      <c r="BA37" s="596">
        <f>AW37-AL37</f>
        <v>-7212.0000000002328</v>
      </c>
      <c r="BB37" s="959">
        <v>1</v>
      </c>
      <c r="BC37" s="617">
        <f>AS37*AU37</f>
        <v>1357800</v>
      </c>
      <c r="BD37" s="617">
        <f>(AP37)*AU37</f>
        <v>1242480</v>
      </c>
      <c r="BE37" s="617">
        <f t="shared" ref="BE37:BE38" si="66">BC37-BD37</f>
        <v>115320</v>
      </c>
      <c r="BF37" s="838"/>
      <c r="BG37" s="838">
        <f t="shared" ref="BG37:BG38" si="67">BC37-AW37</f>
        <v>0</v>
      </c>
      <c r="BH37" s="838">
        <f t="shared" ref="BH37:BH38" si="68">BD37-AX37</f>
        <v>0</v>
      </c>
      <c r="BI37" s="838">
        <f t="shared" ref="BI37:BI38" si="69">BE37-AY37</f>
        <v>0</v>
      </c>
    </row>
    <row r="38" spans="1:61" s="196" customFormat="1" ht="18.75" customHeight="1" x14ac:dyDescent="0.2">
      <c r="A38" s="1041">
        <v>16</v>
      </c>
      <c r="B38" s="1041">
        <v>16</v>
      </c>
      <c r="C38" s="1042" t="s">
        <v>66</v>
      </c>
      <c r="D38" s="737" t="s">
        <v>65</v>
      </c>
      <c r="E38" s="318"/>
      <c r="F38" s="199"/>
      <c r="G38" s="199"/>
      <c r="H38" s="659"/>
      <c r="I38" s="199"/>
      <c r="J38" s="674"/>
      <c r="K38" s="200"/>
      <c r="L38" s="673"/>
      <c r="M38" s="200"/>
      <c r="N38" s="185"/>
      <c r="O38" s="658" t="s">
        <v>328</v>
      </c>
      <c r="P38" s="311">
        <v>1</v>
      </c>
      <c r="Q38" s="199">
        <v>77200</v>
      </c>
      <c r="R38" s="658">
        <v>1.04</v>
      </c>
      <c r="S38" s="199">
        <v>80290</v>
      </c>
      <c r="T38" s="658">
        <v>1.0403</v>
      </c>
      <c r="U38" s="200">
        <v>83530</v>
      </c>
      <c r="V38" s="673">
        <v>1.02</v>
      </c>
      <c r="W38" s="200">
        <v>85200</v>
      </c>
      <c r="X38" s="315">
        <v>1.1000000000000001</v>
      </c>
      <c r="Y38" s="185">
        <v>1124640.0000000002</v>
      </c>
      <c r="Z38" s="315"/>
      <c r="AA38" s="315"/>
      <c r="AB38" s="315"/>
      <c r="AC38" s="315"/>
      <c r="AD38" s="315"/>
      <c r="AE38" s="315"/>
      <c r="AF38" s="315"/>
      <c r="AG38" s="315"/>
      <c r="AH38" s="315"/>
      <c r="AI38" s="318"/>
      <c r="AJ38" s="199">
        <f t="shared" si="28"/>
        <v>1</v>
      </c>
      <c r="AK38" s="831">
        <v>1124640.0000000002</v>
      </c>
      <c r="AL38" s="1053">
        <f>AK38+AK39+AK40+AK41+AK42</f>
        <v>4718700</v>
      </c>
      <c r="AM38" s="1052">
        <f>AL38/12*11</f>
        <v>4325475</v>
      </c>
      <c r="AN38" s="1052">
        <f>AL38/12</f>
        <v>393225</v>
      </c>
      <c r="AO38" s="184"/>
      <c r="AP38" s="318">
        <f t="shared" si="63"/>
        <v>8016</v>
      </c>
      <c r="AQ38" s="318">
        <f t="shared" si="64"/>
        <v>744</v>
      </c>
      <c r="AR38" s="318">
        <f t="shared" si="65"/>
        <v>8760</v>
      </c>
      <c r="AS38" s="1112">
        <f>AR38+AR39+AR40+AR41+AR42</f>
        <v>43800</v>
      </c>
      <c r="AT38" s="836">
        <v>128</v>
      </c>
      <c r="AU38" s="1102">
        <v>108</v>
      </c>
      <c r="AV38" s="836">
        <f t="shared" si="32"/>
        <v>1121280</v>
      </c>
      <c r="AW38" s="1096">
        <f>AS38*AU38</f>
        <v>4730400</v>
      </c>
      <c r="AX38" s="1096">
        <f>AU38*(AP38+AP39+AP40+AP41+AP42)</f>
        <v>4328640</v>
      </c>
      <c r="AY38" s="1096">
        <f>AW38-AX38</f>
        <v>401760</v>
      </c>
      <c r="AZ38" s="1052">
        <f>AW38-AX38-AY38</f>
        <v>0</v>
      </c>
      <c r="BA38" s="1105">
        <f>AW38-AL38</f>
        <v>11700</v>
      </c>
      <c r="BB38" s="959">
        <v>5</v>
      </c>
      <c r="BC38" s="617">
        <f>AS38*AU38</f>
        <v>4730400</v>
      </c>
      <c r="BD38" s="617">
        <f>(AP38+AP39+AP40+AP41+AP42)*AU38</f>
        <v>4328640</v>
      </c>
      <c r="BE38" s="617">
        <f t="shared" si="66"/>
        <v>401760</v>
      </c>
      <c r="BF38" s="839"/>
      <c r="BG38" s="838">
        <f t="shared" si="67"/>
        <v>0</v>
      </c>
      <c r="BH38" s="838">
        <f t="shared" si="68"/>
        <v>0</v>
      </c>
      <c r="BI38" s="838">
        <f t="shared" si="69"/>
        <v>0</v>
      </c>
    </row>
    <row r="39" spans="1:61" s="196" customFormat="1" ht="18.75" customHeight="1" x14ac:dyDescent="0.2">
      <c r="A39" s="1041"/>
      <c r="B39" s="1041"/>
      <c r="C39" s="1042"/>
      <c r="D39" s="737" t="s">
        <v>330</v>
      </c>
      <c r="E39" s="318"/>
      <c r="F39" s="199"/>
      <c r="G39" s="199"/>
      <c r="H39" s="659"/>
      <c r="I39" s="199"/>
      <c r="J39" s="674"/>
      <c r="K39" s="200"/>
      <c r="L39" s="673"/>
      <c r="M39" s="200"/>
      <c r="N39" s="185"/>
      <c r="O39" s="658" t="s">
        <v>211</v>
      </c>
      <c r="P39" s="311">
        <v>1</v>
      </c>
      <c r="Q39" s="199">
        <v>66200</v>
      </c>
      <c r="R39" s="658">
        <v>1.04</v>
      </c>
      <c r="S39" s="199">
        <v>68850</v>
      </c>
      <c r="T39" s="658">
        <v>1.0403</v>
      </c>
      <c r="U39" s="200">
        <v>71620</v>
      </c>
      <c r="V39" s="673">
        <v>1.02</v>
      </c>
      <c r="W39" s="200">
        <v>73050</v>
      </c>
      <c r="X39" s="315">
        <v>1.1000000000000001</v>
      </c>
      <c r="Y39" s="185">
        <v>964260</v>
      </c>
      <c r="Z39" s="315"/>
      <c r="AA39" s="315"/>
      <c r="AB39" s="315"/>
      <c r="AC39" s="315"/>
      <c r="AD39" s="315"/>
      <c r="AE39" s="315"/>
      <c r="AF39" s="315"/>
      <c r="AG39" s="315"/>
      <c r="AH39" s="315"/>
      <c r="AI39" s="318"/>
      <c r="AJ39" s="199">
        <f t="shared" si="28"/>
        <v>1</v>
      </c>
      <c r="AK39" s="831">
        <v>964260</v>
      </c>
      <c r="AL39" s="1053"/>
      <c r="AM39" s="1052"/>
      <c r="AN39" s="1052"/>
      <c r="AO39" s="184"/>
      <c r="AP39" s="318">
        <f t="shared" si="63"/>
        <v>8016</v>
      </c>
      <c r="AQ39" s="318">
        <f t="shared" si="64"/>
        <v>744</v>
      </c>
      <c r="AR39" s="318">
        <f t="shared" si="65"/>
        <v>8760</v>
      </c>
      <c r="AS39" s="1112"/>
      <c r="AT39" s="836">
        <v>110</v>
      </c>
      <c r="AU39" s="1102"/>
      <c r="AV39" s="836">
        <f t="shared" si="32"/>
        <v>963600</v>
      </c>
      <c r="AW39" s="1096"/>
      <c r="AX39" s="1096"/>
      <c r="AY39" s="1096"/>
      <c r="AZ39" s="1052"/>
      <c r="BA39" s="1105"/>
      <c r="BB39" s="959"/>
      <c r="BC39" s="839"/>
      <c r="BD39" s="839"/>
      <c r="BE39" s="839"/>
      <c r="BF39" s="839"/>
      <c r="BG39" s="839"/>
      <c r="BH39" s="839"/>
    </row>
    <row r="40" spans="1:61" s="196" customFormat="1" ht="18.75" customHeight="1" x14ac:dyDescent="0.2">
      <c r="A40" s="1041"/>
      <c r="B40" s="1041"/>
      <c r="C40" s="1042"/>
      <c r="D40" s="737" t="s">
        <v>63</v>
      </c>
      <c r="E40" s="659" t="s">
        <v>186</v>
      </c>
      <c r="F40" s="199">
        <v>1</v>
      </c>
      <c r="G40" s="199">
        <v>66200</v>
      </c>
      <c r="H40" s="658">
        <v>1.04</v>
      </c>
      <c r="I40" s="198">
        <v>68850</v>
      </c>
      <c r="J40" s="671">
        <v>1.0403</v>
      </c>
      <c r="K40" s="200">
        <v>71620</v>
      </c>
      <c r="L40" s="673">
        <v>1.02</v>
      </c>
      <c r="M40" s="200">
        <v>73050</v>
      </c>
      <c r="N40" s="185">
        <v>876600</v>
      </c>
      <c r="O40" s="315"/>
      <c r="P40" s="311"/>
      <c r="Q40" s="199"/>
      <c r="R40" s="658"/>
      <c r="S40" s="199"/>
      <c r="T40" s="658"/>
      <c r="U40" s="200"/>
      <c r="V40" s="200"/>
      <c r="W40" s="200"/>
      <c r="X40" s="315"/>
      <c r="Y40" s="185"/>
      <c r="Z40" s="315"/>
      <c r="AA40" s="315"/>
      <c r="AB40" s="315"/>
      <c r="AC40" s="315"/>
      <c r="AD40" s="315"/>
      <c r="AE40" s="315"/>
      <c r="AF40" s="315"/>
      <c r="AG40" s="315"/>
      <c r="AH40" s="315"/>
      <c r="AI40" s="318"/>
      <c r="AJ40" s="199">
        <f t="shared" si="28"/>
        <v>1</v>
      </c>
      <c r="AK40" s="831">
        <v>876600</v>
      </c>
      <c r="AL40" s="1053"/>
      <c r="AM40" s="1052"/>
      <c r="AN40" s="1052"/>
      <c r="AO40" s="184"/>
      <c r="AP40" s="318">
        <f t="shared" si="63"/>
        <v>8016</v>
      </c>
      <c r="AQ40" s="318">
        <f t="shared" si="64"/>
        <v>744</v>
      </c>
      <c r="AR40" s="318">
        <f t="shared" si="65"/>
        <v>8760</v>
      </c>
      <c r="AS40" s="1112"/>
      <c r="AT40" s="846">
        <v>100</v>
      </c>
      <c r="AU40" s="1102"/>
      <c r="AV40" s="836">
        <f t="shared" si="32"/>
        <v>876000</v>
      </c>
      <c r="AW40" s="1096"/>
      <c r="AX40" s="1096"/>
      <c r="AY40" s="1096"/>
      <c r="AZ40" s="1052"/>
      <c r="BA40" s="1105"/>
      <c r="BB40" s="959"/>
      <c r="BC40" s="839"/>
      <c r="BD40" s="839"/>
      <c r="BE40" s="839"/>
      <c r="BF40" s="839"/>
      <c r="BG40" s="839"/>
      <c r="BH40" s="839"/>
    </row>
    <row r="41" spans="1:61" s="196" customFormat="1" ht="18.75" customHeight="1" x14ac:dyDescent="0.2">
      <c r="A41" s="1041"/>
      <c r="B41" s="1041"/>
      <c r="C41" s="1042"/>
      <c r="D41" s="737" t="s">
        <v>331</v>
      </c>
      <c r="E41" s="659" t="s">
        <v>186</v>
      </c>
      <c r="F41" s="199">
        <v>1</v>
      </c>
      <c r="G41" s="199">
        <v>66200</v>
      </c>
      <c r="H41" s="658">
        <v>1.04</v>
      </c>
      <c r="I41" s="198">
        <v>68850</v>
      </c>
      <c r="J41" s="671">
        <v>1.0403</v>
      </c>
      <c r="K41" s="200">
        <v>71620</v>
      </c>
      <c r="L41" s="673">
        <v>1.02</v>
      </c>
      <c r="M41" s="200">
        <v>73050</v>
      </c>
      <c r="N41" s="185">
        <v>876600</v>
      </c>
      <c r="O41" s="315"/>
      <c r="P41" s="311"/>
      <c r="Q41" s="199"/>
      <c r="R41" s="658"/>
      <c r="S41" s="199"/>
      <c r="T41" s="658"/>
      <c r="U41" s="200"/>
      <c r="V41" s="200"/>
      <c r="W41" s="200"/>
      <c r="X41" s="315"/>
      <c r="Y41" s="185"/>
      <c r="Z41" s="315"/>
      <c r="AA41" s="315"/>
      <c r="AB41" s="315"/>
      <c r="AC41" s="315"/>
      <c r="AD41" s="315"/>
      <c r="AE41" s="315"/>
      <c r="AF41" s="315"/>
      <c r="AG41" s="315"/>
      <c r="AH41" s="315"/>
      <c r="AI41" s="318"/>
      <c r="AJ41" s="199">
        <f t="shared" si="28"/>
        <v>1</v>
      </c>
      <c r="AK41" s="831">
        <v>876600</v>
      </c>
      <c r="AL41" s="1053"/>
      <c r="AM41" s="1052"/>
      <c r="AN41" s="1052"/>
      <c r="AO41" s="184"/>
      <c r="AP41" s="318">
        <f t="shared" si="63"/>
        <v>8016</v>
      </c>
      <c r="AQ41" s="318">
        <f t="shared" si="64"/>
        <v>744</v>
      </c>
      <c r="AR41" s="318">
        <f t="shared" si="65"/>
        <v>8760</v>
      </c>
      <c r="AS41" s="1112"/>
      <c r="AT41" s="846">
        <v>100</v>
      </c>
      <c r="AU41" s="1102"/>
      <c r="AV41" s="836">
        <f t="shared" si="32"/>
        <v>876000</v>
      </c>
      <c r="AW41" s="1096"/>
      <c r="AX41" s="1096"/>
      <c r="AY41" s="1096"/>
      <c r="AZ41" s="1052"/>
      <c r="BA41" s="1105"/>
      <c r="BB41" s="959"/>
      <c r="BC41" s="839"/>
      <c r="BD41" s="839"/>
      <c r="BE41" s="839"/>
      <c r="BF41" s="839"/>
      <c r="BG41" s="839"/>
      <c r="BH41" s="839"/>
    </row>
    <row r="42" spans="1:61" s="196" customFormat="1" ht="18.75" customHeight="1" x14ac:dyDescent="0.2">
      <c r="A42" s="1041"/>
      <c r="B42" s="1041"/>
      <c r="C42" s="1042"/>
      <c r="D42" s="737" t="s">
        <v>332</v>
      </c>
      <c r="E42" s="659" t="s">
        <v>186</v>
      </c>
      <c r="F42" s="199">
        <v>1</v>
      </c>
      <c r="G42" s="199">
        <v>66200</v>
      </c>
      <c r="H42" s="658">
        <v>1.04</v>
      </c>
      <c r="I42" s="198">
        <v>68850</v>
      </c>
      <c r="J42" s="671">
        <v>1.0403</v>
      </c>
      <c r="K42" s="200">
        <v>71620</v>
      </c>
      <c r="L42" s="673">
        <v>1.02</v>
      </c>
      <c r="M42" s="200">
        <v>73050</v>
      </c>
      <c r="N42" s="185">
        <v>876600</v>
      </c>
      <c r="O42" s="315"/>
      <c r="P42" s="311"/>
      <c r="Q42" s="199"/>
      <c r="R42" s="658"/>
      <c r="S42" s="199"/>
      <c r="T42" s="658"/>
      <c r="U42" s="200"/>
      <c r="V42" s="200"/>
      <c r="W42" s="200"/>
      <c r="X42" s="315"/>
      <c r="Y42" s="185"/>
      <c r="Z42" s="315"/>
      <c r="AA42" s="315"/>
      <c r="AB42" s="315"/>
      <c r="AC42" s="315"/>
      <c r="AD42" s="315"/>
      <c r="AE42" s="315"/>
      <c r="AF42" s="315"/>
      <c r="AG42" s="315"/>
      <c r="AH42" s="315"/>
      <c r="AI42" s="318"/>
      <c r="AJ42" s="199">
        <f t="shared" si="28"/>
        <v>1</v>
      </c>
      <c r="AK42" s="831">
        <v>876600</v>
      </c>
      <c r="AL42" s="1053"/>
      <c r="AM42" s="1052"/>
      <c r="AN42" s="1052"/>
      <c r="AO42" s="184"/>
      <c r="AP42" s="318">
        <f t="shared" si="63"/>
        <v>8016</v>
      </c>
      <c r="AQ42" s="318">
        <f t="shared" si="64"/>
        <v>744</v>
      </c>
      <c r="AR42" s="318">
        <f t="shared" si="65"/>
        <v>8760</v>
      </c>
      <c r="AS42" s="1112"/>
      <c r="AT42" s="846">
        <v>100</v>
      </c>
      <c r="AU42" s="1102"/>
      <c r="AV42" s="836">
        <f t="shared" si="32"/>
        <v>876000</v>
      </c>
      <c r="AW42" s="1096"/>
      <c r="AX42" s="1096"/>
      <c r="AY42" s="1096"/>
      <c r="AZ42" s="1052"/>
      <c r="BA42" s="1105"/>
      <c r="BB42" s="959"/>
      <c r="BC42" s="839"/>
      <c r="BD42" s="839"/>
      <c r="BE42" s="839"/>
      <c r="BF42" s="839"/>
      <c r="BG42" s="839"/>
      <c r="BH42" s="839"/>
    </row>
    <row r="43" spans="1:61" s="183" customFormat="1" ht="18.75" customHeight="1" x14ac:dyDescent="0.2">
      <c r="A43" s="726">
        <v>17</v>
      </c>
      <c r="B43" s="726">
        <v>17</v>
      </c>
      <c r="C43" s="462" t="s">
        <v>35</v>
      </c>
      <c r="D43" s="737" t="s">
        <v>34</v>
      </c>
      <c r="E43" s="318"/>
      <c r="F43" s="199"/>
      <c r="G43" s="199"/>
      <c r="H43" s="658"/>
      <c r="I43" s="199"/>
      <c r="J43" s="674"/>
      <c r="K43" s="200"/>
      <c r="L43" s="673"/>
      <c r="M43" s="200"/>
      <c r="N43" s="185"/>
      <c r="O43" s="658" t="s">
        <v>319</v>
      </c>
      <c r="P43" s="311">
        <v>1</v>
      </c>
      <c r="Q43" s="199">
        <v>88200</v>
      </c>
      <c r="R43" s="658">
        <v>1.04</v>
      </c>
      <c r="S43" s="199">
        <v>91730</v>
      </c>
      <c r="T43" s="658">
        <v>1.0403</v>
      </c>
      <c r="U43" s="200">
        <v>95430</v>
      </c>
      <c r="V43" s="673">
        <v>1.02</v>
      </c>
      <c r="W43" s="200">
        <v>97340</v>
      </c>
      <c r="X43" s="315">
        <v>1.1000000000000001</v>
      </c>
      <c r="Y43" s="185">
        <v>1284888.0000000002</v>
      </c>
      <c r="Z43" s="318"/>
      <c r="AA43" s="318"/>
      <c r="AB43" s="318"/>
      <c r="AC43" s="318"/>
      <c r="AD43" s="318"/>
      <c r="AE43" s="318"/>
      <c r="AF43" s="318"/>
      <c r="AG43" s="318"/>
      <c r="AH43" s="318"/>
      <c r="AI43" s="318"/>
      <c r="AJ43" s="199">
        <f t="shared" si="28"/>
        <v>1</v>
      </c>
      <c r="AK43" s="831">
        <v>1284888.0000000002</v>
      </c>
      <c r="AL43" s="200">
        <f t="shared" ref="AL43:AL44" si="70">AK43</f>
        <v>1284888.0000000002</v>
      </c>
      <c r="AM43" s="199">
        <f t="shared" ref="AM43:AM44" si="71">AL43/12*11</f>
        <v>1177814.0000000002</v>
      </c>
      <c r="AN43" s="199">
        <f t="shared" ref="AN43:AN44" si="72">AL43/12</f>
        <v>107074.00000000001</v>
      </c>
      <c r="AO43" s="184"/>
      <c r="AP43" s="318">
        <f t="shared" si="63"/>
        <v>8016</v>
      </c>
      <c r="AQ43" s="318">
        <f t="shared" si="64"/>
        <v>744</v>
      </c>
      <c r="AR43" s="318">
        <f t="shared" si="65"/>
        <v>8760</v>
      </c>
      <c r="AS43" s="925">
        <f t="shared" ref="AS43:AS44" si="73">AR43</f>
        <v>8760</v>
      </c>
      <c r="AT43" s="836">
        <v>146</v>
      </c>
      <c r="AU43" s="941">
        <v>146</v>
      </c>
      <c r="AV43" s="836">
        <f t="shared" si="32"/>
        <v>1278960</v>
      </c>
      <c r="AW43" s="885">
        <f t="shared" ref="AW43:AW44" si="74">AV43</f>
        <v>1278960</v>
      </c>
      <c r="AX43" s="885">
        <f t="shared" ref="AX43:AX44" si="75">AU43*AP43</f>
        <v>1170336</v>
      </c>
      <c r="AY43" s="885">
        <f t="shared" ref="AY43:AY44" si="76">AW43-AX43</f>
        <v>108624</v>
      </c>
      <c r="AZ43" s="387">
        <f t="shared" ref="AZ43:AZ44" si="77">AW43-AX43-AY43</f>
        <v>0</v>
      </c>
      <c r="BA43" s="596">
        <f t="shared" ref="BA43:BA44" si="78">AW43-AL43</f>
        <v>-5928.0000000002328</v>
      </c>
      <c r="BB43" s="959">
        <v>1</v>
      </c>
      <c r="BC43" s="617">
        <f t="shared" ref="BC43:BC45" si="79">AS43*AU43</f>
        <v>1278960</v>
      </c>
      <c r="BD43" s="617">
        <f t="shared" ref="BD43:BD45" si="80">(AP43)*AU43</f>
        <v>1170336</v>
      </c>
      <c r="BE43" s="617">
        <f t="shared" ref="BE43:BE45" si="81">BC43-BD43</f>
        <v>108624</v>
      </c>
      <c r="BF43" s="838"/>
      <c r="BG43" s="838">
        <f t="shared" ref="BG43:BG44" si="82">BC43-AW43</f>
        <v>0</v>
      </c>
      <c r="BH43" s="838">
        <f t="shared" ref="BH43:BH44" si="83">BD43-AX43</f>
        <v>0</v>
      </c>
      <c r="BI43" s="838">
        <f t="shared" ref="BI43:BI44" si="84">BE43-AY43</f>
        <v>0</v>
      </c>
    </row>
    <row r="44" spans="1:61" s="183" customFormat="1" ht="18.75" customHeight="1" x14ac:dyDescent="0.2">
      <c r="A44" s="726">
        <v>18</v>
      </c>
      <c r="B44" s="726">
        <v>18</v>
      </c>
      <c r="C44" s="462" t="s">
        <v>33</v>
      </c>
      <c r="D44" s="737" t="s">
        <v>33</v>
      </c>
      <c r="E44" s="318"/>
      <c r="F44" s="199"/>
      <c r="G44" s="199"/>
      <c r="H44" s="658"/>
      <c r="I44" s="199"/>
      <c r="J44" s="674"/>
      <c r="K44" s="200"/>
      <c r="L44" s="673"/>
      <c r="M44" s="200"/>
      <c r="N44" s="185"/>
      <c r="O44" s="658" t="s">
        <v>327</v>
      </c>
      <c r="P44" s="311">
        <v>1</v>
      </c>
      <c r="Q44" s="199">
        <v>77200</v>
      </c>
      <c r="R44" s="658">
        <v>1.04</v>
      </c>
      <c r="S44" s="199">
        <v>80290</v>
      </c>
      <c r="T44" s="658">
        <v>1.0403</v>
      </c>
      <c r="U44" s="711">
        <v>89470</v>
      </c>
      <c r="V44" s="673">
        <v>1.02</v>
      </c>
      <c r="W44" s="200">
        <v>91260</v>
      </c>
      <c r="X44" s="315">
        <v>1.05</v>
      </c>
      <c r="Y44" s="185">
        <v>1149876</v>
      </c>
      <c r="Z44" s="318"/>
      <c r="AA44" s="318"/>
      <c r="AB44" s="318"/>
      <c r="AC44" s="318"/>
      <c r="AD44" s="318"/>
      <c r="AE44" s="318"/>
      <c r="AF44" s="318"/>
      <c r="AG44" s="318"/>
      <c r="AH44" s="318"/>
      <c r="AI44" s="318"/>
      <c r="AJ44" s="199">
        <f t="shared" si="28"/>
        <v>1</v>
      </c>
      <c r="AK44" s="831">
        <v>1149876</v>
      </c>
      <c r="AL44" s="200">
        <f t="shared" si="70"/>
        <v>1149876</v>
      </c>
      <c r="AM44" s="199">
        <f t="shared" si="71"/>
        <v>1054053</v>
      </c>
      <c r="AN44" s="199">
        <f t="shared" si="72"/>
        <v>95823</v>
      </c>
      <c r="AO44" s="184"/>
      <c r="AP44" s="318">
        <f t="shared" si="63"/>
        <v>8016</v>
      </c>
      <c r="AQ44" s="318">
        <f t="shared" si="64"/>
        <v>744</v>
      </c>
      <c r="AR44" s="318">
        <f t="shared" si="65"/>
        <v>8760</v>
      </c>
      <c r="AS44" s="925">
        <f t="shared" si="73"/>
        <v>8760</v>
      </c>
      <c r="AT44" s="836">
        <v>131</v>
      </c>
      <c r="AU44" s="941">
        <v>131</v>
      </c>
      <c r="AV44" s="836">
        <f t="shared" si="32"/>
        <v>1147560</v>
      </c>
      <c r="AW44" s="885">
        <f t="shared" si="74"/>
        <v>1147560</v>
      </c>
      <c r="AX44" s="885">
        <f t="shared" si="75"/>
        <v>1050096</v>
      </c>
      <c r="AY44" s="885">
        <f t="shared" si="76"/>
        <v>97464</v>
      </c>
      <c r="AZ44" s="387">
        <f t="shared" si="77"/>
        <v>0</v>
      </c>
      <c r="BA44" s="596">
        <f t="shared" si="78"/>
        <v>-2316</v>
      </c>
      <c r="BB44" s="959">
        <v>1</v>
      </c>
      <c r="BC44" s="617">
        <f t="shared" si="79"/>
        <v>1147560</v>
      </c>
      <c r="BD44" s="617">
        <f t="shared" si="80"/>
        <v>1050096</v>
      </c>
      <c r="BE44" s="617">
        <f t="shared" si="81"/>
        <v>97464</v>
      </c>
      <c r="BF44" s="838"/>
      <c r="BG44" s="838">
        <f t="shared" si="82"/>
        <v>0</v>
      </c>
      <c r="BH44" s="838">
        <f t="shared" si="83"/>
        <v>0</v>
      </c>
      <c r="BI44" s="838">
        <f t="shared" si="84"/>
        <v>0</v>
      </c>
    </row>
    <row r="45" spans="1:61" s="775" customFormat="1" ht="18.75" customHeight="1" x14ac:dyDescent="0.2">
      <c r="A45" s="768"/>
      <c r="B45" s="768"/>
      <c r="C45" s="769" t="s">
        <v>1</v>
      </c>
      <c r="D45" s="770"/>
      <c r="E45" s="771"/>
      <c r="F45" s="772">
        <f>SUM(F24:F44)</f>
        <v>7</v>
      </c>
      <c r="G45" s="772"/>
      <c r="H45" s="772"/>
      <c r="I45" s="772"/>
      <c r="J45" s="772"/>
      <c r="K45" s="772"/>
      <c r="L45" s="772"/>
      <c r="M45" s="772"/>
      <c r="N45" s="772">
        <f>SUM(N24:N44)</f>
        <v>6282120</v>
      </c>
      <c r="O45" s="772"/>
      <c r="P45" s="772">
        <f>SUM(P24:P44)</f>
        <v>12.5</v>
      </c>
      <c r="Q45" s="772"/>
      <c r="R45" s="772"/>
      <c r="S45" s="772"/>
      <c r="T45" s="772"/>
      <c r="U45" s="772"/>
      <c r="V45" s="772"/>
      <c r="W45" s="773"/>
      <c r="X45" s="772"/>
      <c r="Y45" s="772">
        <f>SUM(Y24:Y44)</f>
        <v>15200286</v>
      </c>
      <c r="Z45" s="772"/>
      <c r="AA45" s="772">
        <f>SUM(AA24:AA44)</f>
        <v>0.5</v>
      </c>
      <c r="AB45" s="772"/>
      <c r="AC45" s="772"/>
      <c r="AD45" s="772"/>
      <c r="AE45" s="772"/>
      <c r="AF45" s="772"/>
      <c r="AG45" s="772"/>
      <c r="AH45" s="772"/>
      <c r="AI45" s="772">
        <f t="shared" ref="AI45:AS45" si="85">SUM(AI24:AI44)</f>
        <v>438300</v>
      </c>
      <c r="AJ45" s="772">
        <f t="shared" si="85"/>
        <v>20</v>
      </c>
      <c r="AK45" s="879">
        <f t="shared" si="85"/>
        <v>21920706</v>
      </c>
      <c r="AL45" s="813">
        <f t="shared" si="85"/>
        <v>21920706</v>
      </c>
      <c r="AM45" s="879">
        <f t="shared" si="85"/>
        <v>20093980.5</v>
      </c>
      <c r="AN45" s="879">
        <f t="shared" si="85"/>
        <v>1826725.5</v>
      </c>
      <c r="AO45" s="774"/>
      <c r="AP45" s="771">
        <f t="shared" si="85"/>
        <v>160320</v>
      </c>
      <c r="AQ45" s="771">
        <f t="shared" si="85"/>
        <v>14880</v>
      </c>
      <c r="AR45" s="771">
        <f t="shared" si="85"/>
        <v>175200</v>
      </c>
      <c r="AS45" s="928">
        <f t="shared" si="85"/>
        <v>175200</v>
      </c>
      <c r="AT45" s="822">
        <f>AV45/AR45</f>
        <v>124.77500000000001</v>
      </c>
      <c r="AU45" s="944">
        <f>AW45/AS45</f>
        <v>124.8</v>
      </c>
      <c r="AV45" s="859">
        <f t="shared" ref="AV45" si="86">SUM(AV24:AV44)</f>
        <v>21860580</v>
      </c>
      <c r="AW45" s="887">
        <f t="shared" ref="AW45" si="87">SUM(AW24:AW44)</f>
        <v>21864960</v>
      </c>
      <c r="AX45" s="887">
        <f t="shared" ref="AX45" si="88">SUM(AX24:AX44)</f>
        <v>20007936</v>
      </c>
      <c r="AY45" s="887">
        <f t="shared" ref="AY45" si="89">SUM(AY24:AY44)</f>
        <v>1857024</v>
      </c>
      <c r="AZ45" s="848"/>
      <c r="BA45" s="183"/>
      <c r="BB45" s="961"/>
      <c r="BC45" s="970">
        <f t="shared" si="79"/>
        <v>21864960</v>
      </c>
      <c r="BD45" s="970">
        <f t="shared" si="80"/>
        <v>20007936</v>
      </c>
      <c r="BE45" s="970">
        <f t="shared" si="81"/>
        <v>1857024</v>
      </c>
      <c r="BF45" s="970"/>
      <c r="BG45" s="970">
        <f t="shared" ref="BG45" si="90">BC45-AW45</f>
        <v>0</v>
      </c>
      <c r="BH45" s="970">
        <f t="shared" ref="BH45" si="91">BD45-AX45</f>
        <v>0</v>
      </c>
      <c r="BI45" s="970">
        <f t="shared" ref="BI45" si="92">BE45-AY45</f>
        <v>0</v>
      </c>
    </row>
    <row r="46" spans="1:61" s="196" customFormat="1" ht="18.75" customHeight="1" x14ac:dyDescent="0.2">
      <c r="B46" s="1072" t="s">
        <v>18</v>
      </c>
      <c r="C46" s="1072"/>
      <c r="D46" s="1072"/>
      <c r="E46" s="1072"/>
      <c r="F46" s="1072"/>
      <c r="G46" s="208"/>
      <c r="H46" s="656"/>
      <c r="I46" s="208"/>
      <c r="J46" s="656"/>
      <c r="K46" s="191"/>
      <c r="L46" s="730"/>
      <c r="M46" s="200"/>
      <c r="N46" s="185"/>
      <c r="O46" s="672"/>
      <c r="P46" s="179"/>
      <c r="Q46" s="179"/>
      <c r="R46" s="681"/>
      <c r="S46" s="179"/>
      <c r="T46" s="194"/>
      <c r="U46" s="179"/>
      <c r="V46" s="179"/>
      <c r="W46" s="200"/>
      <c r="X46" s="194"/>
      <c r="Y46" s="180"/>
      <c r="Z46" s="194"/>
      <c r="AA46" s="194"/>
      <c r="AB46" s="194"/>
      <c r="AC46" s="194"/>
      <c r="AD46" s="194"/>
      <c r="AE46" s="194"/>
      <c r="AF46" s="194"/>
      <c r="AG46" s="194"/>
      <c r="AH46" s="194"/>
      <c r="AI46" s="596"/>
      <c r="AJ46" s="596"/>
      <c r="AK46" s="831"/>
      <c r="AL46" s="200"/>
      <c r="AM46" s="199"/>
      <c r="AN46" s="199"/>
      <c r="AO46" s="184"/>
      <c r="AP46" s="596"/>
      <c r="AQ46" s="596"/>
      <c r="AR46" s="596"/>
      <c r="AS46" s="927"/>
      <c r="AT46" s="837"/>
      <c r="AU46" s="943"/>
      <c r="AV46" s="836"/>
      <c r="AW46" s="200"/>
      <c r="AX46" s="200"/>
      <c r="AY46" s="200"/>
      <c r="AZ46" s="850"/>
      <c r="BA46" s="183"/>
      <c r="BB46" s="959"/>
      <c r="BC46" s="839"/>
      <c r="BD46" s="839"/>
      <c r="BE46" s="839"/>
      <c r="BF46" s="839"/>
      <c r="BG46" s="839"/>
      <c r="BH46" s="839"/>
    </row>
    <row r="47" spans="1:61" s="201" customFormat="1" ht="18.75" customHeight="1" x14ac:dyDescent="0.2">
      <c r="A47" s="1041">
        <v>19</v>
      </c>
      <c r="B47" s="1041">
        <v>19</v>
      </c>
      <c r="C47" s="1042" t="s">
        <v>7</v>
      </c>
      <c r="D47" s="681" t="s">
        <v>5</v>
      </c>
      <c r="E47" s="387"/>
      <c r="F47" s="200"/>
      <c r="G47" s="199"/>
      <c r="H47" s="659"/>
      <c r="I47" s="199"/>
      <c r="J47" s="674"/>
      <c r="K47" s="200"/>
      <c r="L47" s="673"/>
      <c r="M47" s="200"/>
      <c r="N47" s="185"/>
      <c r="O47" s="387"/>
      <c r="P47" s="200"/>
      <c r="Q47" s="199"/>
      <c r="R47" s="659"/>
      <c r="S47" s="199"/>
      <c r="T47" s="387"/>
      <c r="U47" s="200"/>
      <c r="V47" s="200"/>
      <c r="W47" s="200"/>
      <c r="X47" s="387"/>
      <c r="Y47" s="185"/>
      <c r="Z47" s="682" t="s">
        <v>211</v>
      </c>
      <c r="AA47" s="311">
        <v>1</v>
      </c>
      <c r="AB47" s="199">
        <v>66200</v>
      </c>
      <c r="AC47" s="673">
        <v>1.04</v>
      </c>
      <c r="AD47" s="199">
        <v>68850</v>
      </c>
      <c r="AE47" s="674">
        <v>1.0403</v>
      </c>
      <c r="AF47" s="200">
        <v>71620</v>
      </c>
      <c r="AG47" s="673">
        <v>1.02</v>
      </c>
      <c r="AH47" s="200">
        <v>73050</v>
      </c>
      <c r="AI47" s="185">
        <v>876600</v>
      </c>
      <c r="AJ47" s="199">
        <f t="shared" ref="AJ47:AJ52" si="93">F47+P47+AA47</f>
        <v>1</v>
      </c>
      <c r="AK47" s="831">
        <v>876600</v>
      </c>
      <c r="AL47" s="1053">
        <f>AK47+AK48+AK49+AK50+AK51+AK52</f>
        <v>4894260</v>
      </c>
      <c r="AM47" s="1052">
        <f>AL47/12*11</f>
        <v>4486405</v>
      </c>
      <c r="AN47" s="1052">
        <f>AL47/12</f>
        <v>407855</v>
      </c>
      <c r="AO47" s="184"/>
      <c r="AP47" s="318">
        <f t="shared" ref="AP47:AP50" si="94">24*(365-31)*1</f>
        <v>8016</v>
      </c>
      <c r="AQ47" s="318">
        <f t="shared" ref="AQ47:AQ50" si="95">24*31</f>
        <v>744</v>
      </c>
      <c r="AR47" s="318">
        <f t="shared" ref="AR47:AR51" si="96">SUM(AP47:AQ47)</f>
        <v>8760</v>
      </c>
      <c r="AS47" s="1112">
        <f>AR47+AR48+AR49+AR50+AR51+AR52</f>
        <v>48180</v>
      </c>
      <c r="AT47" s="846">
        <v>100</v>
      </c>
      <c r="AU47" s="1102">
        <v>102</v>
      </c>
      <c r="AV47" s="836">
        <f t="shared" ref="AV47:AV52" si="97">AT47*AR47</f>
        <v>876000</v>
      </c>
      <c r="AW47" s="1096">
        <f>AS47*AU47</f>
        <v>4914360</v>
      </c>
      <c r="AX47" s="1096">
        <f>AU47*(AP47+AP48+AP49+AP50+AP51+AP52)</f>
        <v>4496976</v>
      </c>
      <c r="AY47" s="1096">
        <f>AW47-AX47</f>
        <v>417384</v>
      </c>
      <c r="AZ47" s="1104">
        <f>AW47-AX47-AY47</f>
        <v>0</v>
      </c>
      <c r="BA47" s="1103">
        <f>AW47-AL47</f>
        <v>20100</v>
      </c>
      <c r="BB47" s="959">
        <v>6</v>
      </c>
      <c r="BC47" s="617">
        <f>AS47*AU47</f>
        <v>4914360</v>
      </c>
      <c r="BD47" s="617">
        <f>(AP47+AP48+AP49+AP50+AP51+AP52)*AU47</f>
        <v>4496976</v>
      </c>
      <c r="BE47" s="617">
        <f t="shared" ref="BE47" si="98">BC47-BD47</f>
        <v>417384</v>
      </c>
      <c r="BF47" s="839"/>
      <c r="BG47" s="838">
        <f t="shared" ref="BG47" si="99">BC47-AW47</f>
        <v>0</v>
      </c>
      <c r="BH47" s="838">
        <f t="shared" ref="BH47" si="100">BD47-AX47</f>
        <v>0</v>
      </c>
      <c r="BI47" s="838">
        <f t="shared" ref="BI47" si="101">BE47-AY47</f>
        <v>0</v>
      </c>
    </row>
    <row r="48" spans="1:61" s="201" customFormat="1" ht="18.75" customHeight="1" x14ac:dyDescent="0.2">
      <c r="A48" s="1041"/>
      <c r="B48" s="1041"/>
      <c r="C48" s="1042"/>
      <c r="D48" s="681" t="s">
        <v>4</v>
      </c>
      <c r="E48" s="387"/>
      <c r="F48" s="200"/>
      <c r="G48" s="199"/>
      <c r="H48" s="659"/>
      <c r="I48" s="199"/>
      <c r="J48" s="674"/>
      <c r="K48" s="200"/>
      <c r="L48" s="673"/>
      <c r="M48" s="200"/>
      <c r="N48" s="185"/>
      <c r="O48" s="387"/>
      <c r="P48" s="200"/>
      <c r="Q48" s="199"/>
      <c r="R48" s="659"/>
      <c r="S48" s="199"/>
      <c r="T48" s="387"/>
      <c r="U48" s="200"/>
      <c r="V48" s="200"/>
      <c r="W48" s="200"/>
      <c r="X48" s="387"/>
      <c r="Y48" s="185"/>
      <c r="Z48" s="682" t="s">
        <v>211</v>
      </c>
      <c r="AA48" s="311">
        <v>1</v>
      </c>
      <c r="AB48" s="629">
        <v>66200</v>
      </c>
      <c r="AC48" s="673">
        <v>1.04</v>
      </c>
      <c r="AD48" s="199">
        <v>68850</v>
      </c>
      <c r="AE48" s="674">
        <v>1.0403</v>
      </c>
      <c r="AF48" s="200">
        <v>71620</v>
      </c>
      <c r="AG48" s="673">
        <v>1.02</v>
      </c>
      <c r="AH48" s="200">
        <v>73050</v>
      </c>
      <c r="AI48" s="185">
        <v>876600</v>
      </c>
      <c r="AJ48" s="199">
        <f t="shared" si="93"/>
        <v>1</v>
      </c>
      <c r="AK48" s="831">
        <v>876600</v>
      </c>
      <c r="AL48" s="1053"/>
      <c r="AM48" s="1052"/>
      <c r="AN48" s="1052"/>
      <c r="AO48" s="184"/>
      <c r="AP48" s="318">
        <f t="shared" si="94"/>
        <v>8016</v>
      </c>
      <c r="AQ48" s="318">
        <f t="shared" si="95"/>
        <v>744</v>
      </c>
      <c r="AR48" s="318">
        <f t="shared" si="96"/>
        <v>8760</v>
      </c>
      <c r="AS48" s="1112"/>
      <c r="AT48" s="846">
        <v>100</v>
      </c>
      <c r="AU48" s="1102"/>
      <c r="AV48" s="836">
        <f t="shared" si="97"/>
        <v>876000</v>
      </c>
      <c r="AW48" s="1096"/>
      <c r="AX48" s="1096"/>
      <c r="AY48" s="1096"/>
      <c r="AZ48" s="1104"/>
      <c r="BA48" s="1103"/>
      <c r="BB48" s="962"/>
      <c r="BC48" s="617"/>
      <c r="BD48" s="617"/>
      <c r="BE48" s="617"/>
      <c r="BF48" s="839"/>
      <c r="BG48" s="838"/>
      <c r="BH48" s="838"/>
      <c r="BI48" s="838"/>
    </row>
    <row r="49" spans="1:61" s="201" customFormat="1" ht="18.75" customHeight="1" x14ac:dyDescent="0.2">
      <c r="A49" s="1041"/>
      <c r="B49" s="1041"/>
      <c r="C49" s="1042"/>
      <c r="D49" s="681" t="s">
        <v>3</v>
      </c>
      <c r="E49" s="387"/>
      <c r="F49" s="200"/>
      <c r="G49" s="199"/>
      <c r="H49" s="659"/>
      <c r="I49" s="199"/>
      <c r="J49" s="674"/>
      <c r="K49" s="200"/>
      <c r="L49" s="673"/>
      <c r="M49" s="200"/>
      <c r="N49" s="185"/>
      <c r="O49" s="387"/>
      <c r="P49" s="200"/>
      <c r="Q49" s="199"/>
      <c r="R49" s="659"/>
      <c r="S49" s="199"/>
      <c r="T49" s="387"/>
      <c r="U49" s="200"/>
      <c r="V49" s="200"/>
      <c r="W49" s="200"/>
      <c r="X49" s="387"/>
      <c r="Y49" s="185"/>
      <c r="Z49" s="682" t="s">
        <v>211</v>
      </c>
      <c r="AA49" s="311">
        <v>1</v>
      </c>
      <c r="AB49" s="199">
        <v>66200</v>
      </c>
      <c r="AC49" s="673">
        <v>1.04</v>
      </c>
      <c r="AD49" s="199">
        <v>68850</v>
      </c>
      <c r="AE49" s="674">
        <v>1.0403</v>
      </c>
      <c r="AF49" s="200">
        <v>71620</v>
      </c>
      <c r="AG49" s="673">
        <v>1.02</v>
      </c>
      <c r="AH49" s="200">
        <v>73050</v>
      </c>
      <c r="AI49" s="185">
        <v>876600</v>
      </c>
      <c r="AJ49" s="199">
        <f t="shared" si="93"/>
        <v>1</v>
      </c>
      <c r="AK49" s="831">
        <v>876600</v>
      </c>
      <c r="AL49" s="1053"/>
      <c r="AM49" s="1052"/>
      <c r="AN49" s="1052"/>
      <c r="AO49" s="184"/>
      <c r="AP49" s="318">
        <f t="shared" si="94"/>
        <v>8016</v>
      </c>
      <c r="AQ49" s="318">
        <f t="shared" si="95"/>
        <v>744</v>
      </c>
      <c r="AR49" s="318">
        <f t="shared" si="96"/>
        <v>8760</v>
      </c>
      <c r="AS49" s="1112"/>
      <c r="AT49" s="846">
        <v>100</v>
      </c>
      <c r="AU49" s="1102"/>
      <c r="AV49" s="836">
        <f t="shared" si="97"/>
        <v>876000</v>
      </c>
      <c r="AW49" s="1096"/>
      <c r="AX49" s="1096"/>
      <c r="AY49" s="1096"/>
      <c r="AZ49" s="1104"/>
      <c r="BA49" s="1103"/>
      <c r="BB49" s="962"/>
      <c r="BC49" s="617"/>
      <c r="BD49" s="617"/>
      <c r="BE49" s="617"/>
      <c r="BF49" s="839"/>
      <c r="BG49" s="838"/>
      <c r="BH49" s="838"/>
      <c r="BI49" s="838"/>
    </row>
    <row r="50" spans="1:61" s="201" customFormat="1" ht="18.75" customHeight="1" x14ac:dyDescent="0.2">
      <c r="A50" s="1041"/>
      <c r="B50" s="1041"/>
      <c r="C50" s="1042"/>
      <c r="D50" s="681" t="s">
        <v>3</v>
      </c>
      <c r="E50" s="658" t="s">
        <v>185</v>
      </c>
      <c r="F50" s="311">
        <v>1</v>
      </c>
      <c r="G50" s="198">
        <v>71700</v>
      </c>
      <c r="H50" s="658">
        <v>1.04</v>
      </c>
      <c r="I50" s="198">
        <v>74570</v>
      </c>
      <c r="J50" s="671">
        <v>1.0403</v>
      </c>
      <c r="K50" s="200">
        <v>77580</v>
      </c>
      <c r="L50" s="673">
        <v>1.02</v>
      </c>
      <c r="M50" s="200">
        <v>79130</v>
      </c>
      <c r="N50" s="185">
        <v>949560</v>
      </c>
      <c r="O50" s="387"/>
      <c r="P50" s="200"/>
      <c r="Q50" s="199"/>
      <c r="R50" s="659"/>
      <c r="S50" s="199"/>
      <c r="T50" s="387"/>
      <c r="U50" s="200"/>
      <c r="V50" s="200"/>
      <c r="W50" s="200"/>
      <c r="X50" s="387"/>
      <c r="Y50" s="185"/>
      <c r="Z50" s="622"/>
      <c r="AA50" s="311"/>
      <c r="AB50" s="199"/>
      <c r="AC50" s="673"/>
      <c r="AD50" s="199"/>
      <c r="AE50" s="674"/>
      <c r="AF50" s="200"/>
      <c r="AG50" s="673"/>
      <c r="AH50" s="200"/>
      <c r="AI50" s="185"/>
      <c r="AJ50" s="199">
        <f t="shared" si="93"/>
        <v>1</v>
      </c>
      <c r="AK50" s="831">
        <v>949560</v>
      </c>
      <c r="AL50" s="1053"/>
      <c r="AM50" s="1052"/>
      <c r="AN50" s="1052"/>
      <c r="AO50" s="184"/>
      <c r="AP50" s="318">
        <f t="shared" si="94"/>
        <v>8016</v>
      </c>
      <c r="AQ50" s="318">
        <f t="shared" si="95"/>
        <v>744</v>
      </c>
      <c r="AR50" s="318">
        <f t="shared" si="96"/>
        <v>8760</v>
      </c>
      <c r="AS50" s="1112"/>
      <c r="AT50" s="836">
        <v>108</v>
      </c>
      <c r="AU50" s="1102"/>
      <c r="AV50" s="836">
        <f t="shared" si="97"/>
        <v>946080</v>
      </c>
      <c r="AW50" s="1096"/>
      <c r="AX50" s="1096"/>
      <c r="AY50" s="1096"/>
      <c r="AZ50" s="1104"/>
      <c r="BA50" s="1103"/>
      <c r="BB50" s="962"/>
      <c r="BC50" s="617"/>
      <c r="BD50" s="617"/>
      <c r="BE50" s="617"/>
      <c r="BF50" s="839"/>
      <c r="BG50" s="838"/>
      <c r="BH50" s="838"/>
      <c r="BI50" s="838"/>
    </row>
    <row r="51" spans="1:61" s="201" customFormat="1" ht="18.75" customHeight="1" x14ac:dyDescent="0.2">
      <c r="A51" s="1041"/>
      <c r="B51" s="1041"/>
      <c r="C51" s="1042"/>
      <c r="D51" s="681" t="s">
        <v>313</v>
      </c>
      <c r="E51" s="315"/>
      <c r="F51" s="311"/>
      <c r="G51" s="198"/>
      <c r="H51" s="657"/>
      <c r="I51" s="198"/>
      <c r="J51" s="671"/>
      <c r="K51" s="200"/>
      <c r="L51" s="673"/>
      <c r="M51" s="200"/>
      <c r="N51" s="185"/>
      <c r="O51" s="387"/>
      <c r="P51" s="200"/>
      <c r="Q51" s="199"/>
      <c r="R51" s="659"/>
      <c r="S51" s="199"/>
      <c r="T51" s="387"/>
      <c r="U51" s="200"/>
      <c r="V51" s="200"/>
      <c r="W51" s="200"/>
      <c r="X51" s="387"/>
      <c r="Y51" s="185"/>
      <c r="Z51" s="682" t="s">
        <v>211</v>
      </c>
      <c r="AA51" s="735">
        <v>0.5</v>
      </c>
      <c r="AB51" s="199">
        <v>66200</v>
      </c>
      <c r="AC51" s="673">
        <v>1.04</v>
      </c>
      <c r="AD51" s="199">
        <v>68850</v>
      </c>
      <c r="AE51" s="674">
        <v>1.0403</v>
      </c>
      <c r="AF51" s="200">
        <v>71620</v>
      </c>
      <c r="AG51" s="673">
        <v>1.02</v>
      </c>
      <c r="AH51" s="200">
        <v>73050</v>
      </c>
      <c r="AI51" s="185">
        <v>438300</v>
      </c>
      <c r="AJ51" s="731">
        <f t="shared" si="93"/>
        <v>0.5</v>
      </c>
      <c r="AK51" s="831">
        <v>438300</v>
      </c>
      <c r="AL51" s="1053"/>
      <c r="AM51" s="1052"/>
      <c r="AN51" s="1052"/>
      <c r="AO51" s="184"/>
      <c r="AP51" s="874">
        <f>12*(365-31)*1</f>
        <v>4008</v>
      </c>
      <c r="AQ51" s="874">
        <f>12*31</f>
        <v>372</v>
      </c>
      <c r="AR51" s="874">
        <f t="shared" si="96"/>
        <v>4380</v>
      </c>
      <c r="AS51" s="1112"/>
      <c r="AT51" s="846">
        <v>100</v>
      </c>
      <c r="AU51" s="1102"/>
      <c r="AV51" s="836">
        <f t="shared" si="97"/>
        <v>438000</v>
      </c>
      <c r="AW51" s="1096"/>
      <c r="AX51" s="1096"/>
      <c r="AY51" s="1096"/>
      <c r="AZ51" s="1104"/>
      <c r="BA51" s="1103"/>
      <c r="BB51" s="962"/>
      <c r="BC51" s="617"/>
      <c r="BD51" s="617"/>
      <c r="BE51" s="617"/>
      <c r="BF51" s="839"/>
      <c r="BG51" s="838"/>
      <c r="BH51" s="838"/>
      <c r="BI51" s="838"/>
    </row>
    <row r="52" spans="1:61" s="201" customFormat="1" ht="18.75" customHeight="1" x14ac:dyDescent="0.2">
      <c r="A52" s="1041"/>
      <c r="B52" s="1041"/>
      <c r="C52" s="1042"/>
      <c r="D52" s="681" t="s">
        <v>2</v>
      </c>
      <c r="E52" s="387"/>
      <c r="F52" s="200"/>
      <c r="G52" s="199"/>
      <c r="H52" s="659"/>
      <c r="I52" s="199"/>
      <c r="J52" s="674"/>
      <c r="K52" s="200"/>
      <c r="L52" s="673"/>
      <c r="M52" s="200"/>
      <c r="N52" s="185"/>
      <c r="O52" s="387"/>
      <c r="P52" s="200"/>
      <c r="Q52" s="199"/>
      <c r="R52" s="659"/>
      <c r="S52" s="199"/>
      <c r="T52" s="387"/>
      <c r="U52" s="200"/>
      <c r="V52" s="200"/>
      <c r="W52" s="200"/>
      <c r="X52" s="387"/>
      <c r="Y52" s="185"/>
      <c r="Z52" s="682" t="s">
        <v>211</v>
      </c>
      <c r="AA52" s="311">
        <v>1</v>
      </c>
      <c r="AB52" s="199">
        <v>66200</v>
      </c>
      <c r="AC52" s="673">
        <v>1.04</v>
      </c>
      <c r="AD52" s="199">
        <v>68850</v>
      </c>
      <c r="AE52" s="674">
        <v>1.0403</v>
      </c>
      <c r="AF52" s="200">
        <v>71620</v>
      </c>
      <c r="AG52" s="673">
        <v>1.02</v>
      </c>
      <c r="AH52" s="200">
        <v>73050</v>
      </c>
      <c r="AI52" s="185">
        <v>876600</v>
      </c>
      <c r="AJ52" s="199">
        <f t="shared" si="93"/>
        <v>1</v>
      </c>
      <c r="AK52" s="831">
        <v>876600</v>
      </c>
      <c r="AL52" s="1053"/>
      <c r="AM52" s="1052"/>
      <c r="AN52" s="1052"/>
      <c r="AO52" s="184"/>
      <c r="AP52" s="318">
        <f t="shared" ref="AP52" si="102">24*(365-31)*1</f>
        <v>8016</v>
      </c>
      <c r="AQ52" s="318">
        <f t="shared" ref="AQ52" si="103">24*31</f>
        <v>744</v>
      </c>
      <c r="AR52" s="318">
        <f t="shared" ref="AR52" si="104">SUM(AP52:AQ52)</f>
        <v>8760</v>
      </c>
      <c r="AS52" s="1112"/>
      <c r="AT52" s="846">
        <v>100</v>
      </c>
      <c r="AU52" s="1102"/>
      <c r="AV52" s="836">
        <f t="shared" si="97"/>
        <v>876000</v>
      </c>
      <c r="AW52" s="1096"/>
      <c r="AX52" s="1096"/>
      <c r="AY52" s="1096"/>
      <c r="AZ52" s="1104"/>
      <c r="BA52" s="1103"/>
      <c r="BB52" s="962"/>
      <c r="BC52" s="617"/>
      <c r="BD52" s="617"/>
      <c r="BE52" s="617"/>
      <c r="BF52" s="839"/>
      <c r="BG52" s="838"/>
      <c r="BH52" s="838"/>
      <c r="BI52" s="838"/>
    </row>
    <row r="53" spans="1:61" s="783" customFormat="1" ht="18.75" customHeight="1" x14ac:dyDescent="0.2">
      <c r="A53" s="776"/>
      <c r="B53" s="776"/>
      <c r="C53" s="777" t="s">
        <v>1</v>
      </c>
      <c r="D53" s="778"/>
      <c r="E53" s="779"/>
      <c r="F53" s="780">
        <f>SUM(F47:F52)</f>
        <v>1</v>
      </c>
      <c r="G53" s="780"/>
      <c r="H53" s="780"/>
      <c r="I53" s="780"/>
      <c r="J53" s="780"/>
      <c r="K53" s="780"/>
      <c r="L53" s="780"/>
      <c r="M53" s="780"/>
      <c r="N53" s="780">
        <f t="shared" ref="N53:AA53" si="105">SUM(N47:N52)</f>
        <v>949560</v>
      </c>
      <c r="O53" s="780"/>
      <c r="P53" s="780"/>
      <c r="Q53" s="780"/>
      <c r="R53" s="780"/>
      <c r="S53" s="780"/>
      <c r="T53" s="780"/>
      <c r="U53" s="780"/>
      <c r="V53" s="780"/>
      <c r="W53" s="781"/>
      <c r="X53" s="780"/>
      <c r="Y53" s="780"/>
      <c r="Z53" s="780"/>
      <c r="AA53" s="780">
        <f t="shared" si="105"/>
        <v>4.5</v>
      </c>
      <c r="AB53" s="780"/>
      <c r="AC53" s="780"/>
      <c r="AD53" s="780"/>
      <c r="AE53" s="780"/>
      <c r="AF53" s="780"/>
      <c r="AG53" s="780"/>
      <c r="AH53" s="780"/>
      <c r="AI53" s="780">
        <f t="shared" ref="AI53:AS53" si="106">SUM(AI47:AI52)</f>
        <v>3944700</v>
      </c>
      <c r="AJ53" s="780">
        <f t="shared" si="106"/>
        <v>5.5</v>
      </c>
      <c r="AK53" s="880">
        <f t="shared" si="106"/>
        <v>4894260</v>
      </c>
      <c r="AL53" s="814">
        <f t="shared" si="106"/>
        <v>4894260</v>
      </c>
      <c r="AM53" s="880">
        <f t="shared" si="106"/>
        <v>4486405</v>
      </c>
      <c r="AN53" s="880">
        <f t="shared" si="106"/>
        <v>407855</v>
      </c>
      <c r="AO53" s="782"/>
      <c r="AP53" s="779">
        <f t="shared" si="106"/>
        <v>44088</v>
      </c>
      <c r="AQ53" s="779">
        <f t="shared" si="106"/>
        <v>4092</v>
      </c>
      <c r="AR53" s="779">
        <f t="shared" si="106"/>
        <v>48180</v>
      </c>
      <c r="AS53" s="928">
        <f t="shared" si="106"/>
        <v>48180</v>
      </c>
      <c r="AT53" s="823">
        <f>AV53/AR53</f>
        <v>101.45454545454545</v>
      </c>
      <c r="AU53" s="944">
        <f>AW53/AS53</f>
        <v>102</v>
      </c>
      <c r="AV53" s="860">
        <f t="shared" ref="AV53" si="107">SUM(AV47:AV52)</f>
        <v>4888080</v>
      </c>
      <c r="AW53" s="888">
        <f t="shared" ref="AW53" si="108">SUM(AW47:AW52)</f>
        <v>4914360</v>
      </c>
      <c r="AX53" s="888">
        <f t="shared" ref="AX53" si="109">SUM(AX47:AX52)</f>
        <v>4496976</v>
      </c>
      <c r="AY53" s="888">
        <f t="shared" ref="AY53" si="110">SUM(AY47:AY52)</f>
        <v>417384</v>
      </c>
      <c r="AZ53" s="849"/>
      <c r="BA53" s="183"/>
      <c r="BB53" s="963"/>
      <c r="BC53" s="973">
        <f t="shared" ref="BC53" si="111">AS53*AU53</f>
        <v>4914360</v>
      </c>
      <c r="BD53" s="973">
        <f>(AP53)*AU53</f>
        <v>4496976</v>
      </c>
      <c r="BE53" s="973">
        <f t="shared" ref="BE53" si="112">BC53-BD53</f>
        <v>417384</v>
      </c>
      <c r="BF53" s="973"/>
      <c r="BG53" s="973">
        <f t="shared" ref="BG53" si="113">BC53-AW53</f>
        <v>0</v>
      </c>
      <c r="BH53" s="973">
        <f t="shared" ref="BH53" si="114">BD53-AX53</f>
        <v>0</v>
      </c>
      <c r="BI53" s="973">
        <f t="shared" ref="BI53" si="115">BE53-AY53</f>
        <v>0</v>
      </c>
    </row>
    <row r="54" spans="1:61" s="789" customFormat="1" ht="18.75" customHeight="1" x14ac:dyDescent="0.2">
      <c r="A54" s="784"/>
      <c r="B54" s="784"/>
      <c r="C54" s="785" t="s">
        <v>0</v>
      </c>
      <c r="D54" s="786"/>
      <c r="E54" s="787"/>
      <c r="F54" s="788">
        <f>F22+F45+F53</f>
        <v>22</v>
      </c>
      <c r="G54" s="788"/>
      <c r="H54" s="788"/>
      <c r="I54" s="788"/>
      <c r="J54" s="788"/>
      <c r="K54" s="788"/>
      <c r="L54" s="788"/>
      <c r="M54" s="788"/>
      <c r="N54" s="788">
        <f>N22+N45+N53</f>
        <v>20379600</v>
      </c>
      <c r="O54" s="788"/>
      <c r="P54" s="788">
        <f>P22+P45+P53</f>
        <v>12.5</v>
      </c>
      <c r="Q54" s="788"/>
      <c r="R54" s="788"/>
      <c r="S54" s="788"/>
      <c r="T54" s="788"/>
      <c r="U54" s="788"/>
      <c r="V54" s="788"/>
      <c r="W54" s="788"/>
      <c r="X54" s="788"/>
      <c r="Y54" s="788">
        <f>Y22+Y45+Y53</f>
        <v>15200286</v>
      </c>
      <c r="Z54" s="788"/>
      <c r="AA54" s="788">
        <f>AA22+AA45+AA53</f>
        <v>5</v>
      </c>
      <c r="AB54" s="788"/>
      <c r="AC54" s="788"/>
      <c r="AD54" s="788"/>
      <c r="AE54" s="788"/>
      <c r="AF54" s="788"/>
      <c r="AG54" s="788"/>
      <c r="AH54" s="788"/>
      <c r="AI54" s="788">
        <f t="shared" ref="AI54:AS54" si="116">AI22+AI45+AI53</f>
        <v>4383000</v>
      </c>
      <c r="AJ54" s="788">
        <f t="shared" si="116"/>
        <v>39.5</v>
      </c>
      <c r="AK54" s="881">
        <f t="shared" si="116"/>
        <v>39962886</v>
      </c>
      <c r="AL54" s="815">
        <f t="shared" si="116"/>
        <v>39962886</v>
      </c>
      <c r="AM54" s="881">
        <f t="shared" si="116"/>
        <v>36632645.5</v>
      </c>
      <c r="AN54" s="881">
        <f t="shared" si="116"/>
        <v>3330240.5</v>
      </c>
      <c r="AP54" s="787">
        <f t="shared" si="116"/>
        <v>316632</v>
      </c>
      <c r="AQ54" s="787">
        <f t="shared" si="116"/>
        <v>29388</v>
      </c>
      <c r="AR54" s="787">
        <f t="shared" si="116"/>
        <v>346020</v>
      </c>
      <c r="AS54" s="928">
        <f t="shared" si="116"/>
        <v>346020</v>
      </c>
      <c r="AT54" s="824">
        <f>AV54/AR54</f>
        <v>115.17721518987342</v>
      </c>
      <c r="AU54" s="944">
        <f>AW54/AS54</f>
        <v>115.24050632911393</v>
      </c>
      <c r="AV54" s="861">
        <f t="shared" ref="AV54" si="117">AV22+AV45+AV53</f>
        <v>39853620</v>
      </c>
      <c r="AW54" s="889">
        <f t="shared" ref="AW54" si="118">AW22+AW45+AW53</f>
        <v>39875520</v>
      </c>
      <c r="AX54" s="889">
        <f t="shared" ref="AX54" si="119">AX22+AX45+AX53</f>
        <v>36488832</v>
      </c>
      <c r="AY54" s="889">
        <f t="shared" ref="AY54" si="120">AY22+AY45+AY53</f>
        <v>3386688</v>
      </c>
      <c r="AZ54" s="852"/>
      <c r="BA54" s="183"/>
      <c r="BB54" s="964"/>
      <c r="BC54" s="972">
        <f>BC22+BC45+BC53</f>
        <v>39875520</v>
      </c>
      <c r="BD54" s="972">
        <f t="shared" ref="BD54:BE54" si="121">BD22+BD45+BD53</f>
        <v>36488832</v>
      </c>
      <c r="BE54" s="972">
        <f t="shared" si="121"/>
        <v>3386688</v>
      </c>
      <c r="BF54" s="869"/>
      <c r="BG54" s="971">
        <f t="shared" ref="BG54" si="122">BC54-AW54</f>
        <v>0</v>
      </c>
      <c r="BH54" s="971">
        <f t="shared" ref="BH54" si="123">BD54-AX54</f>
        <v>0</v>
      </c>
      <c r="BI54" s="971">
        <f t="shared" ref="BI54" si="124">BE54-AY54</f>
        <v>0</v>
      </c>
    </row>
    <row r="55" spans="1:61" s="201" customFormat="1" ht="15.6" customHeight="1" x14ac:dyDescent="0.2">
      <c r="A55" s="685"/>
      <c r="B55" s="685"/>
      <c r="C55" s="231"/>
      <c r="D55" s="740"/>
      <c r="F55" s="232"/>
      <c r="G55" s="617"/>
      <c r="H55" s="661"/>
      <c r="I55" s="617"/>
      <c r="J55" s="661"/>
      <c r="K55" s="232"/>
      <c r="L55" s="232"/>
      <c r="M55" s="232"/>
      <c r="N55" s="233"/>
      <c r="P55" s="232"/>
      <c r="Q55" s="617"/>
      <c r="R55" s="617"/>
      <c r="S55" s="232"/>
      <c r="Y55" s="232"/>
      <c r="Z55" s="232"/>
      <c r="AA55" s="232"/>
      <c r="AB55" s="617"/>
      <c r="AC55" s="617"/>
      <c r="AD55" s="232"/>
      <c r="AE55" s="232"/>
      <c r="AI55" s="617"/>
      <c r="AJ55" s="617"/>
      <c r="AK55" s="760"/>
      <c r="AL55" s="200"/>
      <c r="AM55" s="199"/>
      <c r="AN55" s="199"/>
      <c r="AO55" s="183"/>
      <c r="AP55" s="183"/>
      <c r="AQ55" s="183"/>
      <c r="AR55" s="183"/>
      <c r="AS55" s="929"/>
      <c r="AT55" s="838"/>
      <c r="AU55" s="945"/>
      <c r="AV55" s="845"/>
      <c r="AW55" s="200"/>
      <c r="AX55" s="200"/>
      <c r="AY55" s="200"/>
      <c r="AZ55" s="850"/>
      <c r="BA55" s="183"/>
      <c r="BB55" s="962"/>
      <c r="BC55" s="825"/>
      <c r="BD55" s="825"/>
      <c r="BE55" s="825"/>
      <c r="BF55" s="825"/>
      <c r="BG55" s="825"/>
      <c r="BH55" s="825"/>
    </row>
    <row r="56" spans="1:61" s="201" customFormat="1" ht="15.6" hidden="1" customHeight="1" x14ac:dyDescent="0.2">
      <c r="A56" s="685"/>
      <c r="B56" s="685"/>
      <c r="C56" s="231"/>
      <c r="D56" s="740"/>
      <c r="F56" s="232"/>
      <c r="G56" s="617"/>
      <c r="H56" s="661"/>
      <c r="I56" s="617"/>
      <c r="J56" s="661"/>
      <c r="K56" s="232"/>
      <c r="L56" s="232"/>
      <c r="M56" s="232"/>
      <c r="N56" s="233"/>
      <c r="P56" s="232"/>
      <c r="Q56" s="617"/>
      <c r="R56" s="617"/>
      <c r="S56" s="232"/>
      <c r="Y56" s="232"/>
      <c r="Z56" s="232"/>
      <c r="AA56" s="232"/>
      <c r="AB56" s="617"/>
      <c r="AC56" s="617"/>
      <c r="AD56" s="232"/>
      <c r="AE56" s="232"/>
      <c r="AI56" s="617"/>
      <c r="AJ56" s="617"/>
      <c r="AK56" s="760"/>
      <c r="AL56" s="200"/>
      <c r="AM56" s="199"/>
      <c r="AN56" s="199"/>
      <c r="AO56" s="183"/>
      <c r="AP56" s="183"/>
      <c r="AQ56" s="183"/>
      <c r="AR56" s="183"/>
      <c r="AS56" s="929"/>
      <c r="AT56" s="838"/>
      <c r="AU56" s="945"/>
      <c r="AV56" s="845"/>
      <c r="AW56" s="200"/>
      <c r="AX56" s="200"/>
      <c r="AY56" s="200"/>
      <c r="AZ56" s="850"/>
      <c r="BA56" s="183"/>
      <c r="BB56" s="962"/>
      <c r="BC56" s="825"/>
      <c r="BD56" s="825"/>
      <c r="BE56" s="825"/>
      <c r="BF56" s="825"/>
      <c r="BG56" s="825"/>
      <c r="BH56" s="825"/>
    </row>
    <row r="57" spans="1:61" s="201" customFormat="1" ht="15.6" hidden="1" customHeight="1" x14ac:dyDescent="0.2">
      <c r="A57" s="685"/>
      <c r="B57" s="685"/>
      <c r="C57" s="231"/>
      <c r="D57" s="740"/>
      <c r="F57" s="232"/>
      <c r="G57" s="617"/>
      <c r="H57" s="661"/>
      <c r="I57" s="617"/>
      <c r="J57" s="661"/>
      <c r="K57" s="232"/>
      <c r="L57" s="232"/>
      <c r="M57" s="232"/>
      <c r="N57" s="233"/>
      <c r="P57" s="232"/>
      <c r="Q57" s="617"/>
      <c r="R57" s="617"/>
      <c r="S57" s="232"/>
      <c r="Y57" s="232"/>
      <c r="Z57" s="232"/>
      <c r="AA57" s="232"/>
      <c r="AB57" s="617"/>
      <c r="AC57" s="617"/>
      <c r="AD57" s="232"/>
      <c r="AE57" s="232"/>
      <c r="AI57" s="617"/>
      <c r="AJ57" s="617"/>
      <c r="AK57" s="760"/>
      <c r="AL57" s="200"/>
      <c r="AM57" s="199"/>
      <c r="AN57" s="199"/>
      <c r="AO57" s="183"/>
      <c r="AP57" s="183"/>
      <c r="AQ57" s="183"/>
      <c r="AR57" s="183"/>
      <c r="AS57" s="929"/>
      <c r="AT57" s="838"/>
      <c r="AU57" s="945"/>
      <c r="AV57" s="845"/>
      <c r="AW57" s="200"/>
      <c r="AX57" s="200"/>
      <c r="AY57" s="200"/>
      <c r="AZ57" s="850"/>
      <c r="BA57" s="183"/>
      <c r="BB57" s="962"/>
      <c r="BC57" s="825"/>
      <c r="BD57" s="825"/>
      <c r="BE57" s="825"/>
      <c r="BF57" s="825"/>
      <c r="BG57" s="825"/>
      <c r="BH57" s="825"/>
    </row>
    <row r="58" spans="1:61" s="196" customFormat="1" ht="15.6" hidden="1" customHeight="1" x14ac:dyDescent="0.2">
      <c r="A58" s="689"/>
      <c r="B58" s="689"/>
      <c r="C58" s="690"/>
      <c r="D58" s="741"/>
      <c r="E58" s="691"/>
      <c r="F58" s="613"/>
      <c r="G58" s="613"/>
      <c r="H58" s="692"/>
      <c r="I58" s="613"/>
      <c r="J58" s="692"/>
      <c r="K58" s="590"/>
      <c r="L58" s="590"/>
      <c r="M58" s="590"/>
      <c r="N58" s="693"/>
      <c r="P58" s="184"/>
      <c r="Q58" s="184"/>
      <c r="R58" s="184"/>
      <c r="S58" s="184"/>
      <c r="Y58" s="232"/>
      <c r="AI58" s="183"/>
      <c r="AJ58" s="183"/>
      <c r="AK58" s="896"/>
      <c r="AL58" s="820"/>
      <c r="AM58" s="900"/>
      <c r="AN58" s="900"/>
      <c r="AO58" s="183"/>
      <c r="AP58" s="183"/>
      <c r="AQ58" s="183"/>
      <c r="AR58" s="183"/>
      <c r="AS58" s="929"/>
      <c r="AT58" s="839"/>
      <c r="AU58" s="946"/>
      <c r="AV58" s="912"/>
      <c r="AW58" s="820"/>
      <c r="AX58" s="820"/>
      <c r="AY58" s="820"/>
      <c r="AZ58" s="850"/>
      <c r="BA58" s="183"/>
      <c r="BB58" s="959"/>
      <c r="BC58" s="839"/>
      <c r="BD58" s="839"/>
      <c r="BE58" s="839"/>
      <c r="BF58" s="839"/>
      <c r="BG58" s="839"/>
      <c r="BH58" s="839"/>
    </row>
    <row r="59" spans="1:61" s="196" customFormat="1" ht="15.6" hidden="1" customHeight="1" x14ac:dyDescent="0.2">
      <c r="A59" s="689"/>
      <c r="B59" s="689"/>
      <c r="C59" s="690"/>
      <c r="D59" s="741"/>
      <c r="E59" s="691"/>
      <c r="F59" s="613"/>
      <c r="G59" s="613"/>
      <c r="H59" s="692"/>
      <c r="I59" s="613"/>
      <c r="J59" s="692"/>
      <c r="K59" s="590"/>
      <c r="L59" s="590"/>
      <c r="M59" s="590"/>
      <c r="N59" s="693"/>
      <c r="P59" s="184"/>
      <c r="Q59" s="184"/>
      <c r="R59" s="184"/>
      <c r="S59" s="184"/>
      <c r="Y59" s="232"/>
      <c r="AI59" s="183"/>
      <c r="AJ59" s="183"/>
      <c r="AK59" s="183"/>
      <c r="AL59" s="545"/>
      <c r="AM59" s="622"/>
      <c r="AN59" s="622"/>
      <c r="AO59" s="183"/>
      <c r="AP59" s="183"/>
      <c r="AQ59" s="183"/>
      <c r="AR59" s="183"/>
      <c r="AS59" s="929"/>
      <c r="AT59" s="839"/>
      <c r="AU59" s="946"/>
      <c r="AV59" s="839"/>
      <c r="AW59" s="545"/>
      <c r="AX59" s="545"/>
      <c r="AY59" s="545"/>
      <c r="AZ59" s="850"/>
      <c r="BA59" s="183"/>
      <c r="BB59" s="959"/>
      <c r="BC59" s="839"/>
      <c r="BD59" s="839"/>
      <c r="BE59" s="839"/>
      <c r="BF59" s="839"/>
      <c r="BG59" s="839"/>
      <c r="BH59" s="839"/>
    </row>
    <row r="60" spans="1:61" s="196" customFormat="1" ht="15.6" hidden="1" customHeight="1" thickBot="1" x14ac:dyDescent="0.25">
      <c r="A60" s="689"/>
      <c r="B60" s="689"/>
      <c r="C60" s="694" t="s">
        <v>209</v>
      </c>
      <c r="D60" s="741"/>
      <c r="E60" s="691"/>
      <c r="F60" s="613"/>
      <c r="G60" s="613"/>
      <c r="H60" s="692"/>
      <c r="I60" s="613"/>
      <c r="J60" s="692"/>
      <c r="K60" s="590"/>
      <c r="L60" s="590"/>
      <c r="M60" s="590"/>
      <c r="N60" s="693"/>
      <c r="P60" s="184"/>
      <c r="Q60" s="184"/>
      <c r="R60" s="184"/>
      <c r="S60" s="184"/>
      <c r="Y60" s="232"/>
      <c r="AI60" s="183"/>
      <c r="AJ60" s="183"/>
      <c r="AK60" s="183"/>
      <c r="AL60" s="545"/>
      <c r="AM60" s="622"/>
      <c r="AN60" s="622"/>
      <c r="AO60" s="183"/>
      <c r="AP60" s="183"/>
      <c r="AQ60" s="183"/>
      <c r="AR60" s="183"/>
      <c r="AS60" s="929"/>
      <c r="AT60" s="839"/>
      <c r="AU60" s="946"/>
      <c r="AV60" s="839"/>
      <c r="AW60" s="545"/>
      <c r="AX60" s="545"/>
      <c r="AY60" s="545"/>
      <c r="AZ60" s="850"/>
      <c r="BA60" s="183"/>
      <c r="BB60" s="959"/>
      <c r="BC60" s="839"/>
      <c r="BD60" s="839"/>
      <c r="BE60" s="839"/>
      <c r="BF60" s="839"/>
      <c r="BG60" s="839"/>
      <c r="BH60" s="839"/>
    </row>
    <row r="61" spans="1:61" s="196" customFormat="1" ht="15.6" hidden="1" customHeight="1" x14ac:dyDescent="0.2">
      <c r="A61" s="1068">
        <v>1</v>
      </c>
      <c r="B61" s="1068">
        <v>1</v>
      </c>
      <c r="C61" s="1070" t="s">
        <v>201</v>
      </c>
      <c r="D61" s="742" t="s">
        <v>202</v>
      </c>
      <c r="E61" s="695"/>
      <c r="F61" s="614"/>
      <c r="G61" s="614"/>
      <c r="H61" s="660"/>
      <c r="I61" s="614"/>
      <c r="J61" s="696">
        <v>1.0403</v>
      </c>
      <c r="K61" s="697"/>
      <c r="L61" s="727"/>
      <c r="M61" s="727"/>
      <c r="N61" s="394"/>
      <c r="O61" s="704" t="s">
        <v>319</v>
      </c>
      <c r="P61" s="305">
        <v>1</v>
      </c>
      <c r="Q61" s="614" t="e">
        <f>#REF!</f>
        <v>#REF!</v>
      </c>
      <c r="R61" s="614"/>
      <c r="S61" s="614" t="e">
        <f>#REF!</f>
        <v>#REF!</v>
      </c>
      <c r="T61" s="698">
        <v>1.0403</v>
      </c>
      <c r="U61" s="665" t="e">
        <f t="shared" ref="U61:U65" si="125">ROUND(S61*T61,-1)</f>
        <v>#REF!</v>
      </c>
      <c r="V61" s="665"/>
      <c r="W61" s="665"/>
      <c r="X61" s="706">
        <v>1.1000000000000001</v>
      </c>
      <c r="Y61" s="676" t="e">
        <f t="shared" ref="Y61:Y64" si="126">U61*P61*X61*12</f>
        <v>#REF!</v>
      </c>
      <c r="Z61" s="699"/>
      <c r="AA61" s="378"/>
      <c r="AB61" s="378"/>
      <c r="AC61" s="378"/>
      <c r="AD61" s="378"/>
      <c r="AE61" s="378"/>
      <c r="AF61" s="378"/>
      <c r="AG61" s="732"/>
      <c r="AH61" s="732"/>
      <c r="AI61" s="707"/>
      <c r="AJ61" s="707"/>
      <c r="AK61" s="897" t="e">
        <f>N61+Y61+AI61</f>
        <v>#REF!</v>
      </c>
      <c r="AL61" s="200"/>
      <c r="AM61" s="199"/>
      <c r="AN61" s="199"/>
      <c r="AO61" s="183"/>
      <c r="AP61" s="707"/>
      <c r="AQ61" s="707"/>
      <c r="AR61" s="707"/>
      <c r="AS61" s="930"/>
      <c r="AT61" s="840"/>
      <c r="AU61" s="947"/>
      <c r="AV61" s="913">
        <f>V61+AG61+AQ61</f>
        <v>0</v>
      </c>
      <c r="AW61" s="200"/>
      <c r="AX61" s="200"/>
      <c r="AY61" s="200"/>
      <c r="AZ61" s="850"/>
      <c r="BA61" s="183"/>
      <c r="BB61" s="959"/>
      <c r="BC61" s="839"/>
      <c r="BD61" s="839"/>
      <c r="BE61" s="839"/>
      <c r="BF61" s="839"/>
      <c r="BG61" s="839"/>
      <c r="BH61" s="839"/>
    </row>
    <row r="62" spans="1:61" s="196" customFormat="1" ht="15.6" hidden="1" customHeight="1" x14ac:dyDescent="0.2">
      <c r="A62" s="1069"/>
      <c r="B62" s="1069"/>
      <c r="C62" s="1071"/>
      <c r="D62" s="743" t="s">
        <v>203</v>
      </c>
      <c r="E62" s="317" t="s">
        <v>185</v>
      </c>
      <c r="F62" s="199">
        <v>1</v>
      </c>
      <c r="G62" s="199">
        <v>71700</v>
      </c>
      <c r="H62" s="658">
        <v>1.04</v>
      </c>
      <c r="I62" s="199">
        <v>74570</v>
      </c>
      <c r="J62" s="683">
        <v>1.0403</v>
      </c>
      <c r="K62" s="200">
        <f t="shared" ref="K62:K63" si="127">ROUND(I62*J62,-1)</f>
        <v>77580</v>
      </c>
      <c r="L62" s="200"/>
      <c r="M62" s="200"/>
      <c r="N62" s="185">
        <f t="shared" ref="N62:N63" si="128">K62*F62*12</f>
        <v>930960</v>
      </c>
      <c r="O62" s="304"/>
      <c r="P62" s="311"/>
      <c r="Q62" s="199"/>
      <c r="R62" s="199"/>
      <c r="S62" s="199"/>
      <c r="T62" s="658">
        <v>1.0403</v>
      </c>
      <c r="U62" s="387">
        <f t="shared" si="125"/>
        <v>0</v>
      </c>
      <c r="V62" s="387"/>
      <c r="W62" s="387"/>
      <c r="X62" s="315"/>
      <c r="Y62" s="677">
        <f t="shared" si="126"/>
        <v>0</v>
      </c>
      <c r="Z62" s="529"/>
      <c r="AA62" s="315"/>
      <c r="AB62" s="315"/>
      <c r="AC62" s="315"/>
      <c r="AD62" s="315"/>
      <c r="AE62" s="315"/>
      <c r="AF62" s="315"/>
      <c r="AG62" s="733"/>
      <c r="AH62" s="733"/>
      <c r="AI62" s="708"/>
      <c r="AJ62" s="708"/>
      <c r="AK62" s="831">
        <f t="shared" ref="AK62:AK65" si="129">N62+Y62+AI62</f>
        <v>930960</v>
      </c>
      <c r="AL62" s="200"/>
      <c r="AM62" s="199"/>
      <c r="AN62" s="199"/>
      <c r="AO62" s="183"/>
      <c r="AP62" s="708"/>
      <c r="AQ62" s="708"/>
      <c r="AR62" s="708"/>
      <c r="AS62" s="931"/>
      <c r="AT62" s="841"/>
      <c r="AU62" s="948"/>
      <c r="AV62" s="836">
        <f>V62+AG62+AQ62</f>
        <v>0</v>
      </c>
      <c r="AW62" s="200"/>
      <c r="AX62" s="200"/>
      <c r="AY62" s="200"/>
      <c r="AZ62" s="850"/>
      <c r="BA62" s="183"/>
      <c r="BB62" s="959"/>
      <c r="BC62" s="839"/>
      <c r="BD62" s="839"/>
      <c r="BE62" s="839"/>
      <c r="BF62" s="839"/>
      <c r="BG62" s="839"/>
      <c r="BH62" s="839"/>
    </row>
    <row r="63" spans="1:61" s="196" customFormat="1" ht="15.6" hidden="1" customHeight="1" x14ac:dyDescent="0.2">
      <c r="A63" s="1069"/>
      <c r="B63" s="1069"/>
      <c r="C63" s="1071"/>
      <c r="D63" s="743" t="s">
        <v>204</v>
      </c>
      <c r="E63" s="317" t="s">
        <v>185</v>
      </c>
      <c r="F63" s="199">
        <v>1</v>
      </c>
      <c r="G63" s="199">
        <v>71700</v>
      </c>
      <c r="H63" s="658">
        <v>1.04</v>
      </c>
      <c r="I63" s="199">
        <v>74750</v>
      </c>
      <c r="J63" s="683">
        <v>1.0403</v>
      </c>
      <c r="K63" s="200">
        <f t="shared" si="127"/>
        <v>77760</v>
      </c>
      <c r="L63" s="200"/>
      <c r="M63" s="200"/>
      <c r="N63" s="185">
        <f t="shared" si="128"/>
        <v>933120</v>
      </c>
      <c r="O63" s="304"/>
      <c r="P63" s="311"/>
      <c r="Q63" s="199"/>
      <c r="R63" s="199"/>
      <c r="S63" s="199"/>
      <c r="T63" s="658">
        <v>1.0403</v>
      </c>
      <c r="U63" s="387">
        <f t="shared" si="125"/>
        <v>0</v>
      </c>
      <c r="V63" s="387"/>
      <c r="W63" s="387"/>
      <c r="X63" s="315"/>
      <c r="Y63" s="677">
        <f t="shared" si="126"/>
        <v>0</v>
      </c>
      <c r="Z63" s="529"/>
      <c r="AA63" s="315"/>
      <c r="AB63" s="315"/>
      <c r="AC63" s="315"/>
      <c r="AD63" s="315"/>
      <c r="AE63" s="315"/>
      <c r="AF63" s="315"/>
      <c r="AG63" s="733"/>
      <c r="AH63" s="733"/>
      <c r="AI63" s="708"/>
      <c r="AJ63" s="708"/>
      <c r="AK63" s="831">
        <f t="shared" si="129"/>
        <v>933120</v>
      </c>
      <c r="AL63" s="200"/>
      <c r="AM63" s="199"/>
      <c r="AN63" s="199"/>
      <c r="AO63" s="183"/>
      <c r="AP63" s="708"/>
      <c r="AQ63" s="708"/>
      <c r="AR63" s="708"/>
      <c r="AS63" s="931"/>
      <c r="AT63" s="841"/>
      <c r="AU63" s="948"/>
      <c r="AV63" s="836">
        <f>V63+AG63+AQ63</f>
        <v>0</v>
      </c>
      <c r="AW63" s="200"/>
      <c r="AX63" s="200"/>
      <c r="AY63" s="200"/>
      <c r="AZ63" s="850"/>
      <c r="BA63" s="183"/>
      <c r="BB63" s="959"/>
      <c r="BC63" s="839"/>
      <c r="BD63" s="839"/>
      <c r="BE63" s="839"/>
      <c r="BF63" s="839"/>
      <c r="BG63" s="839"/>
      <c r="BH63" s="839"/>
    </row>
    <row r="64" spans="1:61" s="196" customFormat="1" ht="15.6" hidden="1" customHeight="1" x14ac:dyDescent="0.2">
      <c r="A64" s="1069"/>
      <c r="B64" s="1069"/>
      <c r="C64" s="1071"/>
      <c r="D64" s="743" t="s">
        <v>205</v>
      </c>
      <c r="E64" s="317"/>
      <c r="F64" s="199"/>
      <c r="G64" s="199"/>
      <c r="H64" s="659"/>
      <c r="I64" s="199"/>
      <c r="J64" s="683">
        <v>1.0403</v>
      </c>
      <c r="K64" s="191"/>
      <c r="L64" s="210"/>
      <c r="M64" s="210"/>
      <c r="N64" s="345"/>
      <c r="O64" s="304"/>
      <c r="P64" s="311"/>
      <c r="Q64" s="199"/>
      <c r="R64" s="199"/>
      <c r="S64" s="199"/>
      <c r="T64" s="658">
        <v>1.0403</v>
      </c>
      <c r="U64" s="387">
        <f t="shared" si="125"/>
        <v>0</v>
      </c>
      <c r="V64" s="387"/>
      <c r="W64" s="387"/>
      <c r="X64" s="315"/>
      <c r="Y64" s="677">
        <f t="shared" si="126"/>
        <v>0</v>
      </c>
      <c r="Z64" s="529">
        <v>730</v>
      </c>
      <c r="AA64" s="311">
        <v>1</v>
      </c>
      <c r="AB64" s="199">
        <v>66200</v>
      </c>
      <c r="AC64" s="673">
        <v>1.04</v>
      </c>
      <c r="AD64" s="199">
        <v>68850</v>
      </c>
      <c r="AE64" s="674">
        <v>1.0403</v>
      </c>
      <c r="AF64" s="200">
        <v>71620</v>
      </c>
      <c r="AG64" s="313"/>
      <c r="AH64" s="313"/>
      <c r="AI64" s="186">
        <f t="shared" ref="AI64" si="130">AF64*AA64*12</f>
        <v>859440</v>
      </c>
      <c r="AJ64" s="186"/>
      <c r="AK64" s="831">
        <f t="shared" si="129"/>
        <v>859440</v>
      </c>
      <c r="AL64" s="200"/>
      <c r="AM64" s="199"/>
      <c r="AN64" s="199"/>
      <c r="AO64" s="183"/>
      <c r="AP64" s="875"/>
      <c r="AQ64" s="875"/>
      <c r="AR64" s="875"/>
      <c r="AS64" s="924"/>
      <c r="AT64" s="842"/>
      <c r="AU64" s="942"/>
      <c r="AV64" s="836">
        <f>V64+AG64+AQ64</f>
        <v>0</v>
      </c>
      <c r="AW64" s="200"/>
      <c r="AX64" s="200"/>
      <c r="AY64" s="200"/>
      <c r="AZ64" s="850"/>
      <c r="BA64" s="183"/>
      <c r="BB64" s="959"/>
      <c r="BC64" s="839"/>
      <c r="BD64" s="839"/>
      <c r="BE64" s="839"/>
      <c r="BF64" s="839"/>
      <c r="BG64" s="839"/>
      <c r="BH64" s="839"/>
    </row>
    <row r="65" spans="1:60" s="196" customFormat="1" ht="15.6" hidden="1" customHeight="1" x14ac:dyDescent="0.2">
      <c r="A65" s="349">
        <v>2</v>
      </c>
      <c r="B65" s="349">
        <v>2</v>
      </c>
      <c r="C65" s="208" t="s">
        <v>207</v>
      </c>
      <c r="D65" s="743" t="s">
        <v>208</v>
      </c>
      <c r="E65" s="700"/>
      <c r="F65" s="208"/>
      <c r="G65" s="208"/>
      <c r="H65" s="656"/>
      <c r="I65" s="208"/>
      <c r="J65" s="683">
        <v>1.0403</v>
      </c>
      <c r="K65" s="191"/>
      <c r="L65" s="210"/>
      <c r="M65" s="210"/>
      <c r="N65" s="345"/>
      <c r="O65" s="705" t="s">
        <v>198</v>
      </c>
      <c r="P65" s="311">
        <v>1</v>
      </c>
      <c r="Q65" s="199">
        <v>93700</v>
      </c>
      <c r="R65" s="199"/>
      <c r="S65" s="199" t="e">
        <f>#REF!</f>
        <v>#REF!</v>
      </c>
      <c r="T65" s="658">
        <v>1.0403</v>
      </c>
      <c r="U65" s="387" t="e">
        <f t="shared" si="125"/>
        <v>#REF!</v>
      </c>
      <c r="V65" s="387"/>
      <c r="W65" s="387"/>
      <c r="X65" s="703">
        <v>1.1000000000000001</v>
      </c>
      <c r="Y65" s="677" t="e">
        <f>U65*P65*X65*12</f>
        <v>#REF!</v>
      </c>
      <c r="Z65" s="529"/>
      <c r="AA65" s="315"/>
      <c r="AB65" s="315"/>
      <c r="AC65" s="315"/>
      <c r="AD65" s="315"/>
      <c r="AE65" s="315"/>
      <c r="AF65" s="315"/>
      <c r="AG65" s="733"/>
      <c r="AH65" s="733"/>
      <c r="AI65" s="708"/>
      <c r="AJ65" s="708"/>
      <c r="AK65" s="831" t="e">
        <f t="shared" si="129"/>
        <v>#REF!</v>
      </c>
      <c r="AL65" s="200"/>
      <c r="AM65" s="199"/>
      <c r="AN65" s="199"/>
      <c r="AO65" s="183"/>
      <c r="AP65" s="708"/>
      <c r="AQ65" s="708"/>
      <c r="AR65" s="708"/>
      <c r="AS65" s="931"/>
      <c r="AT65" s="841"/>
      <c r="AU65" s="948"/>
      <c r="AV65" s="836">
        <f>V65+AG65+AQ65</f>
        <v>0</v>
      </c>
      <c r="AW65" s="200"/>
      <c r="AX65" s="200"/>
      <c r="AY65" s="200"/>
      <c r="AZ65" s="850"/>
      <c r="BA65" s="183"/>
      <c r="BB65" s="959"/>
      <c r="BC65" s="839"/>
      <c r="BD65" s="839"/>
      <c r="BE65" s="839"/>
      <c r="BF65" s="839"/>
      <c r="BG65" s="839"/>
      <c r="BH65" s="839"/>
    </row>
    <row r="66" spans="1:60" s="189" customFormat="1" ht="16.149999999999999" hidden="1" customHeight="1" thickBot="1" x14ac:dyDescent="0.25">
      <c r="A66" s="712"/>
      <c r="B66" s="712"/>
      <c r="C66" s="713" t="s">
        <v>1</v>
      </c>
      <c r="D66" s="744"/>
      <c r="E66" s="714"/>
      <c r="F66" s="715">
        <f>SUM(F61:F65)</f>
        <v>2</v>
      </c>
      <c r="G66" s="716"/>
      <c r="H66" s="717"/>
      <c r="I66" s="716"/>
      <c r="J66" s="717"/>
      <c r="K66" s="718"/>
      <c r="L66" s="718"/>
      <c r="M66" s="718"/>
      <c r="N66" s="715">
        <f>SUM(N61:N65)</f>
        <v>1864080</v>
      </c>
      <c r="O66" s="719"/>
      <c r="P66" s="715">
        <f>SUM(P61:P65)</f>
        <v>2</v>
      </c>
      <c r="Q66" s="720"/>
      <c r="R66" s="720"/>
      <c r="S66" s="721"/>
      <c r="T66" s="722"/>
      <c r="U66" s="722"/>
      <c r="V66" s="722"/>
      <c r="W66" s="722"/>
      <c r="X66" s="722"/>
      <c r="Y66" s="715" t="e">
        <f>SUM(Y61:Y65)</f>
        <v>#REF!</v>
      </c>
      <c r="Z66" s="723"/>
      <c r="AA66" s="715">
        <f>SUM(AA61:AA65)</f>
        <v>1</v>
      </c>
      <c r="AB66" s="724"/>
      <c r="AC66" s="724"/>
      <c r="AD66" s="722"/>
      <c r="AE66" s="722"/>
      <c r="AF66" s="722"/>
      <c r="AG66" s="734"/>
      <c r="AH66" s="734"/>
      <c r="AI66" s="725"/>
      <c r="AJ66" s="725"/>
      <c r="AK66" s="898" t="e">
        <f>SUM(AK61:AK65)</f>
        <v>#REF!</v>
      </c>
      <c r="AL66" s="200"/>
      <c r="AM66" s="199"/>
      <c r="AN66" s="199"/>
      <c r="AO66" s="751"/>
      <c r="AP66" s="725"/>
      <c r="AQ66" s="725"/>
      <c r="AR66" s="725"/>
      <c r="AS66" s="932"/>
      <c r="AT66" s="843"/>
      <c r="AU66" s="949"/>
      <c r="AV66" s="914">
        <f>SUM(AV61:AV65)</f>
        <v>0</v>
      </c>
      <c r="AW66" s="200"/>
      <c r="AX66" s="200"/>
      <c r="AY66" s="200"/>
      <c r="AZ66" s="850"/>
      <c r="BA66" s="183"/>
      <c r="BB66" s="962"/>
      <c r="BC66" s="825"/>
      <c r="BD66" s="825"/>
      <c r="BE66" s="825"/>
      <c r="BF66" s="825"/>
      <c r="BG66" s="825"/>
      <c r="BH66" s="825"/>
    </row>
    <row r="67" spans="1:60" ht="15.6" hidden="1" customHeight="1" x14ac:dyDescent="0.25">
      <c r="O67" s="237"/>
      <c r="AL67" s="821"/>
      <c r="AM67" s="903"/>
      <c r="AN67" s="903"/>
      <c r="AO67" s="237"/>
      <c r="AQ67" s="237"/>
      <c r="AR67" s="237"/>
      <c r="AS67" s="933"/>
      <c r="AW67" s="821"/>
      <c r="AX67" s="821"/>
      <c r="AY67" s="821"/>
    </row>
    <row r="68" spans="1:60" ht="15.6" hidden="1" customHeight="1" x14ac:dyDescent="0.25">
      <c r="AL68" s="821"/>
      <c r="AM68" s="903"/>
      <c r="AN68" s="903"/>
      <c r="AO68" s="237"/>
      <c r="AQ68" s="237"/>
      <c r="AR68" s="237"/>
      <c r="AS68" s="933"/>
      <c r="AW68" s="821"/>
      <c r="AX68" s="821"/>
      <c r="AY68" s="821"/>
    </row>
    <row r="69" spans="1:60" ht="15" hidden="1" customHeight="1" x14ac:dyDescent="0.25">
      <c r="AL69" s="821"/>
      <c r="AM69" s="903"/>
      <c r="AN69" s="903"/>
      <c r="AO69" s="237"/>
      <c r="AQ69" s="237"/>
      <c r="AR69" s="237"/>
      <c r="AS69" s="933"/>
      <c r="AW69" s="821"/>
      <c r="AX69" s="821"/>
      <c r="AY69" s="821"/>
    </row>
    <row r="70" spans="1:60" s="166" customFormat="1" ht="15.75" hidden="1" customHeight="1" x14ac:dyDescent="0.25">
      <c r="A70" s="163"/>
      <c r="B70" s="163"/>
      <c r="C70" s="588" t="s">
        <v>302</v>
      </c>
      <c r="D70" s="736" t="s">
        <v>289</v>
      </c>
      <c r="E70" s="451"/>
      <c r="F70" s="164"/>
      <c r="G70" s="163" t="s">
        <v>301</v>
      </c>
      <c r="H70" s="663"/>
      <c r="I70" s="163" t="s">
        <v>300</v>
      </c>
      <c r="J70" s="668" t="s">
        <v>293</v>
      </c>
      <c r="K70" s="702">
        <v>2020</v>
      </c>
      <c r="L70" s="668"/>
      <c r="M70" s="668"/>
      <c r="N70" s="631"/>
      <c r="O70" s="175"/>
      <c r="T70" s="175"/>
      <c r="U70" s="175"/>
      <c r="V70" s="175"/>
      <c r="W70" s="175"/>
      <c r="X70" s="175"/>
      <c r="Y70" s="252"/>
      <c r="Z70" s="175"/>
      <c r="AA70" s="175"/>
      <c r="AB70" s="175"/>
      <c r="AC70" s="175"/>
      <c r="AD70" s="175"/>
      <c r="AE70" s="175"/>
      <c r="AF70" s="175"/>
      <c r="AG70" s="175"/>
      <c r="AH70" s="175"/>
      <c r="AI70" s="237"/>
      <c r="AJ70" s="237"/>
      <c r="AK70" s="237"/>
      <c r="AL70" s="821"/>
      <c r="AM70" s="903"/>
      <c r="AN70" s="903"/>
      <c r="AO70" s="237"/>
      <c r="AP70" s="237"/>
      <c r="AQ70" s="237"/>
      <c r="AR70" s="237"/>
      <c r="AS70" s="933"/>
      <c r="AT70" s="500"/>
      <c r="AU70" s="950"/>
      <c r="AV70" s="500"/>
      <c r="AW70" s="821"/>
      <c r="AX70" s="821"/>
      <c r="AY70" s="821"/>
      <c r="AZ70" s="853"/>
      <c r="BA70" s="237"/>
      <c r="BB70" s="956"/>
      <c r="BC70" s="870"/>
      <c r="BD70" s="870"/>
      <c r="BE70" s="870"/>
      <c r="BF70" s="870"/>
      <c r="BG70" s="870"/>
      <c r="BH70" s="870"/>
    </row>
    <row r="71" spans="1:60" s="166" customFormat="1" ht="15" hidden="1" customHeight="1" x14ac:dyDescent="0.25">
      <c r="A71" s="163"/>
      <c r="B71" s="163"/>
      <c r="C71" s="162"/>
      <c r="D71" s="745" t="s">
        <v>290</v>
      </c>
      <c r="E71" s="451"/>
      <c r="F71" s="164"/>
      <c r="G71" s="164"/>
      <c r="H71" s="655"/>
      <c r="I71" s="164"/>
      <c r="J71" s="561"/>
      <c r="K71" s="667"/>
      <c r="L71" s="561"/>
      <c r="M71" s="561"/>
      <c r="N71" s="631"/>
      <c r="O71" s="175"/>
      <c r="T71" s="175"/>
      <c r="U71" s="175"/>
      <c r="V71" s="175"/>
      <c r="W71" s="175"/>
      <c r="X71" s="175"/>
      <c r="Y71" s="252"/>
      <c r="Z71" s="175"/>
      <c r="AA71" s="175"/>
      <c r="AB71" s="175"/>
      <c r="AC71" s="175"/>
      <c r="AD71" s="175"/>
      <c r="AE71" s="175"/>
      <c r="AF71" s="175"/>
      <c r="AG71" s="175"/>
      <c r="AH71" s="175"/>
      <c r="AI71" s="237"/>
      <c r="AJ71" s="237"/>
      <c r="AK71" s="237"/>
      <c r="AL71" s="821"/>
      <c r="AM71" s="903"/>
      <c r="AN71" s="903"/>
      <c r="AO71" s="237"/>
      <c r="AP71" s="237"/>
      <c r="AQ71" s="237"/>
      <c r="AR71" s="237"/>
      <c r="AS71" s="933"/>
      <c r="AT71" s="500"/>
      <c r="AU71" s="950"/>
      <c r="AV71" s="500"/>
      <c r="AW71" s="821"/>
      <c r="AX71" s="821"/>
      <c r="AY71" s="821"/>
      <c r="AZ71" s="853"/>
      <c r="BA71" s="237"/>
      <c r="BB71" s="956"/>
      <c r="BC71" s="870"/>
      <c r="BD71" s="870"/>
      <c r="BE71" s="870"/>
      <c r="BF71" s="870"/>
      <c r="BG71" s="870"/>
      <c r="BH71" s="870"/>
    </row>
    <row r="72" spans="1:60" s="166" customFormat="1" ht="15" hidden="1" customHeight="1" x14ac:dyDescent="0.25">
      <c r="A72" s="163"/>
      <c r="B72" s="163"/>
      <c r="C72" s="162"/>
      <c r="D72" s="736" t="s">
        <v>291</v>
      </c>
      <c r="E72" s="451"/>
      <c r="F72" s="164"/>
      <c r="G72" s="327">
        <v>66200</v>
      </c>
      <c r="H72" s="662"/>
      <c r="I72" s="327">
        <v>68850</v>
      </c>
      <c r="J72" s="675">
        <f>I72/G72-1</f>
        <v>4.0030211480362565E-2</v>
      </c>
      <c r="K72" s="666">
        <v>71620</v>
      </c>
      <c r="L72" s="728"/>
      <c r="M72" s="728"/>
      <c r="N72" s="701">
        <f>K72/I72</f>
        <v>1.0402323892519971</v>
      </c>
      <c r="O72" s="175"/>
      <c r="T72" s="175"/>
      <c r="U72" s="175"/>
      <c r="V72" s="175"/>
      <c r="W72" s="175"/>
      <c r="X72" s="175"/>
      <c r="Y72" s="252"/>
      <c r="Z72" s="175"/>
      <c r="AA72" s="175"/>
      <c r="AB72" s="175"/>
      <c r="AC72" s="175"/>
      <c r="AD72" s="175"/>
      <c r="AE72" s="175"/>
      <c r="AF72" s="175"/>
      <c r="AG72" s="175"/>
      <c r="AH72" s="175"/>
      <c r="AI72" s="237"/>
      <c r="AJ72" s="237"/>
      <c r="AK72" s="237"/>
      <c r="AL72" s="821"/>
      <c r="AM72" s="903"/>
      <c r="AN72" s="903"/>
      <c r="AO72" s="237"/>
      <c r="AP72" s="237"/>
      <c r="AQ72" s="237"/>
      <c r="AR72" s="237"/>
      <c r="AS72" s="933"/>
      <c r="AT72" s="500"/>
      <c r="AU72" s="950"/>
      <c r="AV72" s="500"/>
      <c r="AW72" s="821"/>
      <c r="AX72" s="821"/>
      <c r="AY72" s="821"/>
      <c r="AZ72" s="853"/>
      <c r="BA72" s="237"/>
      <c r="BB72" s="956"/>
      <c r="BC72" s="870"/>
      <c r="BD72" s="870"/>
      <c r="BE72" s="870"/>
      <c r="BF72" s="870"/>
      <c r="BG72" s="870"/>
      <c r="BH72" s="870"/>
    </row>
    <row r="73" spans="1:60" s="166" customFormat="1" ht="15" hidden="1" customHeight="1" x14ac:dyDescent="0.25">
      <c r="A73" s="163"/>
      <c r="B73" s="163"/>
      <c r="C73" s="162"/>
      <c r="D73" s="736" t="s">
        <v>292</v>
      </c>
      <c r="E73" s="451"/>
      <c r="F73" s="164"/>
      <c r="G73" s="327">
        <v>71700</v>
      </c>
      <c r="H73" s="662"/>
      <c r="I73" s="327">
        <v>74570</v>
      </c>
      <c r="J73" s="675">
        <f>I73/G73-1</f>
        <v>4.0027894002789388E-2</v>
      </c>
      <c r="K73" s="666">
        <v>77580</v>
      </c>
      <c r="L73" s="728"/>
      <c r="M73" s="728"/>
      <c r="N73" s="701">
        <f t="shared" ref="N73:N79" si="131">K73/I73</f>
        <v>1.0403647579455546</v>
      </c>
      <c r="O73" s="175"/>
      <c r="T73" s="175"/>
      <c r="U73" s="175"/>
      <c r="V73" s="175"/>
      <c r="W73" s="175"/>
      <c r="X73" s="175"/>
      <c r="Y73" s="252"/>
      <c r="Z73" s="175"/>
      <c r="AA73" s="175"/>
      <c r="AB73" s="175"/>
      <c r="AC73" s="175"/>
      <c r="AD73" s="175"/>
      <c r="AE73" s="175"/>
      <c r="AF73" s="175"/>
      <c r="AG73" s="175"/>
      <c r="AH73" s="175"/>
      <c r="AI73" s="237"/>
      <c r="AJ73" s="237"/>
      <c r="AK73" s="237"/>
      <c r="AL73" s="821"/>
      <c r="AM73" s="903"/>
      <c r="AN73" s="903"/>
      <c r="AO73" s="237"/>
      <c r="AP73" s="237"/>
      <c r="AQ73" s="237"/>
      <c r="AR73" s="237"/>
      <c r="AS73" s="933"/>
      <c r="AT73" s="500"/>
      <c r="AU73" s="950"/>
      <c r="AV73" s="500"/>
      <c r="AW73" s="821"/>
      <c r="AX73" s="821"/>
      <c r="AY73" s="821"/>
      <c r="AZ73" s="853"/>
      <c r="BA73" s="237"/>
      <c r="BB73" s="956"/>
      <c r="BC73" s="870"/>
      <c r="BD73" s="870"/>
      <c r="BE73" s="870"/>
      <c r="BF73" s="870"/>
      <c r="BG73" s="870"/>
      <c r="BH73" s="870"/>
    </row>
    <row r="74" spans="1:60" s="166" customFormat="1" ht="15" hidden="1" customHeight="1" x14ac:dyDescent="0.25">
      <c r="A74" s="163"/>
      <c r="B74" s="163"/>
      <c r="C74" s="162"/>
      <c r="D74" s="745" t="s">
        <v>299</v>
      </c>
      <c r="E74" s="451"/>
      <c r="F74" s="164"/>
      <c r="G74" s="327"/>
      <c r="H74" s="662"/>
      <c r="I74" s="327"/>
      <c r="J74" s="335"/>
      <c r="K74" s="666"/>
      <c r="L74" s="728"/>
      <c r="M74" s="728"/>
      <c r="N74" s="701"/>
      <c r="O74" s="175"/>
      <c r="T74" s="175"/>
      <c r="U74" s="175"/>
      <c r="V74" s="175"/>
      <c r="W74" s="175"/>
      <c r="X74" s="175"/>
      <c r="Y74" s="252"/>
      <c r="Z74" s="175"/>
      <c r="AA74" s="175"/>
      <c r="AB74" s="175"/>
      <c r="AC74" s="175"/>
      <c r="AD74" s="175"/>
      <c r="AE74" s="175"/>
      <c r="AF74" s="175"/>
      <c r="AG74" s="175"/>
      <c r="AH74" s="175"/>
      <c r="AI74" s="237"/>
      <c r="AJ74" s="237"/>
      <c r="AK74" s="237"/>
      <c r="AL74" s="821"/>
      <c r="AM74" s="903"/>
      <c r="AN74" s="903"/>
      <c r="AO74" s="237"/>
      <c r="AP74" s="237"/>
      <c r="AQ74" s="237"/>
      <c r="AR74" s="237"/>
      <c r="AS74" s="933"/>
      <c r="AT74" s="500"/>
      <c r="AU74" s="950"/>
      <c r="AV74" s="500"/>
      <c r="AW74" s="821"/>
      <c r="AX74" s="821"/>
      <c r="AY74" s="821"/>
      <c r="AZ74" s="853"/>
      <c r="BA74" s="237"/>
      <c r="BB74" s="956"/>
      <c r="BC74" s="870"/>
      <c r="BD74" s="870"/>
      <c r="BE74" s="870"/>
      <c r="BF74" s="870"/>
      <c r="BG74" s="870"/>
      <c r="BH74" s="870"/>
    </row>
    <row r="75" spans="1:60" s="631" customFormat="1" ht="15" hidden="1" customHeight="1" x14ac:dyDescent="0.25">
      <c r="A75" s="163"/>
      <c r="B75" s="163"/>
      <c r="C75" s="162"/>
      <c r="D75" s="736" t="s">
        <v>294</v>
      </c>
      <c r="E75" s="451"/>
      <c r="F75" s="164"/>
      <c r="G75" s="327">
        <v>66200</v>
      </c>
      <c r="H75" s="662"/>
      <c r="I75" s="327">
        <v>68850</v>
      </c>
      <c r="J75" s="675">
        <f t="shared" ref="J75:J79" si="132">I75/G75-1</f>
        <v>4.0030211480362565E-2</v>
      </c>
      <c r="K75" s="666">
        <v>71620</v>
      </c>
      <c r="L75" s="728"/>
      <c r="M75" s="728"/>
      <c r="N75" s="701">
        <f t="shared" si="131"/>
        <v>1.0402323892519971</v>
      </c>
      <c r="O75" s="175"/>
      <c r="P75" s="166"/>
      <c r="Q75" s="166"/>
      <c r="R75" s="166"/>
      <c r="S75" s="166"/>
      <c r="T75" s="175"/>
      <c r="U75" s="175"/>
      <c r="V75" s="175"/>
      <c r="W75" s="175"/>
      <c r="X75" s="175"/>
      <c r="Y75" s="252"/>
      <c r="Z75" s="175"/>
      <c r="AA75" s="175"/>
      <c r="AB75" s="175"/>
      <c r="AC75" s="175"/>
      <c r="AD75" s="175"/>
      <c r="AE75" s="175"/>
      <c r="AF75" s="175"/>
      <c r="AG75" s="175"/>
      <c r="AH75" s="175"/>
      <c r="AI75" s="237"/>
      <c r="AJ75" s="237"/>
      <c r="AK75" s="237"/>
      <c r="AL75" s="821"/>
      <c r="AM75" s="903"/>
      <c r="AN75" s="903"/>
      <c r="AO75" s="237"/>
      <c r="AP75" s="237"/>
      <c r="AQ75" s="237"/>
      <c r="AR75" s="237"/>
      <c r="AS75" s="933"/>
      <c r="AT75" s="500"/>
      <c r="AU75" s="950"/>
      <c r="AV75" s="500"/>
      <c r="AW75" s="821"/>
      <c r="AX75" s="821"/>
      <c r="AY75" s="821"/>
      <c r="AZ75" s="853"/>
      <c r="BA75" s="237"/>
      <c r="BB75" s="965"/>
      <c r="BC75" s="871"/>
      <c r="BD75" s="871"/>
      <c r="BE75" s="871"/>
      <c r="BF75" s="871"/>
      <c r="BG75" s="871"/>
      <c r="BH75" s="871"/>
    </row>
    <row r="76" spans="1:60" s="631" customFormat="1" ht="15" hidden="1" customHeight="1" x14ac:dyDescent="0.25">
      <c r="A76" s="163"/>
      <c r="B76" s="163"/>
      <c r="C76" s="162"/>
      <c r="D76" s="736" t="s">
        <v>364</v>
      </c>
      <c r="E76" s="451"/>
      <c r="F76" s="164"/>
      <c r="G76" s="327">
        <v>77200</v>
      </c>
      <c r="H76" s="662"/>
      <c r="I76" s="327">
        <v>80290</v>
      </c>
      <c r="J76" s="675">
        <f t="shared" si="132"/>
        <v>4.0025906735751349E-2</v>
      </c>
      <c r="K76" s="666">
        <v>83530</v>
      </c>
      <c r="L76" s="728"/>
      <c r="M76" s="728"/>
      <c r="N76" s="701">
        <f t="shared" si="131"/>
        <v>1.0403537177730726</v>
      </c>
      <c r="O76" s="175"/>
      <c r="P76" s="166"/>
      <c r="Q76" s="166"/>
      <c r="R76" s="166"/>
      <c r="S76" s="166"/>
      <c r="T76" s="175"/>
      <c r="U76" s="175"/>
      <c r="V76" s="175"/>
      <c r="W76" s="175"/>
      <c r="X76" s="175"/>
      <c r="Y76" s="252"/>
      <c r="Z76" s="175"/>
      <c r="AA76" s="175"/>
      <c r="AB76" s="175"/>
      <c r="AC76" s="175"/>
      <c r="AD76" s="175"/>
      <c r="AE76" s="175"/>
      <c r="AF76" s="175"/>
      <c r="AG76" s="175"/>
      <c r="AH76" s="175"/>
      <c r="AI76" s="237"/>
      <c r="AJ76" s="237"/>
      <c r="AK76" s="237"/>
      <c r="AL76" s="821"/>
      <c r="AM76" s="903"/>
      <c r="AN76" s="903"/>
      <c r="AO76" s="237"/>
      <c r="AP76" s="237"/>
      <c r="AQ76" s="237"/>
      <c r="AR76" s="237"/>
      <c r="AS76" s="933"/>
      <c r="AT76" s="500"/>
      <c r="AU76" s="950"/>
      <c r="AV76" s="500"/>
      <c r="AW76" s="821"/>
      <c r="AX76" s="821"/>
      <c r="AY76" s="821"/>
      <c r="AZ76" s="853"/>
      <c r="BA76" s="237"/>
      <c r="BB76" s="965"/>
      <c r="BC76" s="871"/>
      <c r="BD76" s="871"/>
      <c r="BE76" s="871"/>
      <c r="BF76" s="871"/>
      <c r="BG76" s="871"/>
      <c r="BH76" s="871"/>
    </row>
    <row r="77" spans="1:60" s="631" customFormat="1" ht="15" hidden="1" customHeight="1" x14ac:dyDescent="0.25">
      <c r="A77" s="163"/>
      <c r="B77" s="163"/>
      <c r="C77" s="162"/>
      <c r="D77" s="736" t="s">
        <v>365</v>
      </c>
      <c r="E77" s="451"/>
      <c r="F77" s="164"/>
      <c r="G77" s="327">
        <v>82700</v>
      </c>
      <c r="H77" s="662"/>
      <c r="I77" s="327">
        <v>86000</v>
      </c>
      <c r="J77" s="675">
        <f t="shared" si="132"/>
        <v>3.9903264812575667E-2</v>
      </c>
      <c r="K77" s="666">
        <v>89470</v>
      </c>
      <c r="L77" s="728"/>
      <c r="M77" s="728"/>
      <c r="N77" s="701">
        <f t="shared" si="131"/>
        <v>1.0403488372093024</v>
      </c>
      <c r="O77" s="175"/>
      <c r="P77" s="166"/>
      <c r="Q77" s="166"/>
      <c r="R77" s="166"/>
      <c r="S77" s="166"/>
      <c r="T77" s="175"/>
      <c r="U77" s="175"/>
      <c r="V77" s="175"/>
      <c r="W77" s="175"/>
      <c r="X77" s="175"/>
      <c r="Y77" s="252"/>
      <c r="Z77" s="175"/>
      <c r="AA77" s="175"/>
      <c r="AB77" s="175"/>
      <c r="AC77" s="175"/>
      <c r="AD77" s="175"/>
      <c r="AE77" s="175"/>
      <c r="AF77" s="175"/>
      <c r="AG77" s="175"/>
      <c r="AH77" s="175"/>
      <c r="AI77" s="237"/>
      <c r="AJ77" s="237"/>
      <c r="AK77" s="237"/>
      <c r="AL77" s="821"/>
      <c r="AM77" s="903"/>
      <c r="AN77" s="903"/>
      <c r="AO77" s="237"/>
      <c r="AP77" s="237"/>
      <c r="AQ77" s="237"/>
      <c r="AR77" s="237"/>
      <c r="AS77" s="933"/>
      <c r="AT77" s="500"/>
      <c r="AU77" s="950"/>
      <c r="AV77" s="500"/>
      <c r="AW77" s="821"/>
      <c r="AX77" s="821"/>
      <c r="AY77" s="821"/>
      <c r="AZ77" s="853"/>
      <c r="BA77" s="237"/>
      <c r="BB77" s="965"/>
      <c r="BC77" s="871"/>
      <c r="BD77" s="871"/>
      <c r="BE77" s="871"/>
      <c r="BF77" s="871"/>
      <c r="BG77" s="871"/>
      <c r="BH77" s="871"/>
    </row>
    <row r="78" spans="1:60" s="631" customFormat="1" ht="15" hidden="1" customHeight="1" x14ac:dyDescent="0.25">
      <c r="A78" s="163"/>
      <c r="B78" s="163"/>
      <c r="C78" s="162"/>
      <c r="D78" s="736" t="s">
        <v>366</v>
      </c>
      <c r="E78" s="451"/>
      <c r="F78" s="164"/>
      <c r="G78" s="327">
        <v>88200</v>
      </c>
      <c r="H78" s="662"/>
      <c r="I78" s="327">
        <v>91730</v>
      </c>
      <c r="J78" s="675">
        <f t="shared" si="132"/>
        <v>4.0022675736961499E-2</v>
      </c>
      <c r="K78" s="666">
        <v>95430</v>
      </c>
      <c r="L78" s="728"/>
      <c r="M78" s="728"/>
      <c r="N78" s="701">
        <f t="shared" si="131"/>
        <v>1.0403357680148262</v>
      </c>
      <c r="O78" s="175"/>
      <c r="P78" s="166"/>
      <c r="Q78" s="166"/>
      <c r="R78" s="166"/>
      <c r="S78" s="166"/>
      <c r="T78" s="175"/>
      <c r="U78" s="175"/>
      <c r="V78" s="175"/>
      <c r="W78" s="175"/>
      <c r="X78" s="175"/>
      <c r="Y78" s="252"/>
      <c r="Z78" s="175"/>
      <c r="AA78" s="175"/>
      <c r="AB78" s="175"/>
      <c r="AC78" s="175"/>
      <c r="AD78" s="175"/>
      <c r="AE78" s="175"/>
      <c r="AF78" s="175"/>
      <c r="AG78" s="175"/>
      <c r="AH78" s="175"/>
      <c r="AI78" s="237"/>
      <c r="AJ78" s="237"/>
      <c r="AK78" s="237"/>
      <c r="AL78" s="821"/>
      <c r="AM78" s="903"/>
      <c r="AN78" s="903"/>
      <c r="AO78" s="237"/>
      <c r="AP78" s="237"/>
      <c r="AQ78" s="237"/>
      <c r="AR78" s="237"/>
      <c r="AS78" s="933"/>
      <c r="AT78" s="500"/>
      <c r="AU78" s="950"/>
      <c r="AV78" s="500"/>
      <c r="AW78" s="821"/>
      <c r="AX78" s="821"/>
      <c r="AY78" s="821"/>
      <c r="AZ78" s="853"/>
      <c r="BA78" s="237"/>
      <c r="BB78" s="965"/>
      <c r="BC78" s="871"/>
      <c r="BD78" s="871"/>
      <c r="BE78" s="871"/>
      <c r="BF78" s="871"/>
      <c r="BG78" s="871"/>
      <c r="BH78" s="871"/>
    </row>
    <row r="79" spans="1:60" s="631" customFormat="1" ht="15" hidden="1" customHeight="1" x14ac:dyDescent="0.25">
      <c r="A79" s="163"/>
      <c r="B79" s="163"/>
      <c r="C79" s="162"/>
      <c r="D79" s="736" t="s">
        <v>298</v>
      </c>
      <c r="E79" s="451"/>
      <c r="F79" s="164"/>
      <c r="G79" s="327">
        <v>93700</v>
      </c>
      <c r="H79" s="662"/>
      <c r="I79" s="327">
        <v>97450</v>
      </c>
      <c r="J79" s="675">
        <f t="shared" si="132"/>
        <v>4.0021344717182439E-2</v>
      </c>
      <c r="K79" s="666">
        <v>101380</v>
      </c>
      <c r="L79" s="728"/>
      <c r="M79" s="728"/>
      <c r="N79" s="701">
        <f t="shared" si="131"/>
        <v>1.0403283735248845</v>
      </c>
      <c r="O79" s="175"/>
      <c r="P79" s="166"/>
      <c r="Q79" s="166"/>
      <c r="R79" s="166"/>
      <c r="S79" s="166"/>
      <c r="T79" s="175"/>
      <c r="U79" s="175"/>
      <c r="V79" s="175"/>
      <c r="W79" s="175"/>
      <c r="X79" s="175"/>
      <c r="Y79" s="252"/>
      <c r="Z79" s="175"/>
      <c r="AA79" s="175"/>
      <c r="AB79" s="175"/>
      <c r="AC79" s="175"/>
      <c r="AD79" s="175"/>
      <c r="AE79" s="175"/>
      <c r="AF79" s="175"/>
      <c r="AG79" s="175"/>
      <c r="AH79" s="175"/>
      <c r="AI79" s="237"/>
      <c r="AJ79" s="237"/>
      <c r="AK79" s="237"/>
      <c r="AL79" s="821"/>
      <c r="AM79" s="903"/>
      <c r="AN79" s="903"/>
      <c r="AO79" s="237"/>
      <c r="AP79" s="237"/>
      <c r="AQ79" s="237"/>
      <c r="AR79" s="237"/>
      <c r="AS79" s="933"/>
      <c r="AT79" s="500"/>
      <c r="AU79" s="950"/>
      <c r="AV79" s="500"/>
      <c r="AW79" s="821"/>
      <c r="AX79" s="821"/>
      <c r="AY79" s="821"/>
      <c r="AZ79" s="853"/>
      <c r="BA79" s="237"/>
      <c r="BB79" s="965"/>
      <c r="BC79" s="871"/>
      <c r="BD79" s="871"/>
      <c r="BE79" s="871"/>
      <c r="BF79" s="871"/>
      <c r="BG79" s="871"/>
      <c r="BH79" s="871"/>
    </row>
    <row r="80" spans="1:60" s="687" customFormat="1" ht="54.75" customHeight="1" x14ac:dyDescent="0.2">
      <c r="A80" s="808">
        <v>2</v>
      </c>
      <c r="B80" s="1079" t="s">
        <v>431</v>
      </c>
      <c r="C80" s="1080"/>
      <c r="D80" s="1081"/>
      <c r="E80" s="746"/>
      <c r="F80" s="746"/>
      <c r="G80" s="746"/>
      <c r="H80" s="678"/>
      <c r="I80" s="746"/>
      <c r="J80" s="678"/>
      <c r="K80" s="679"/>
      <c r="L80" s="678"/>
      <c r="M80" s="679"/>
      <c r="N80" s="747"/>
      <c r="O80" s="746"/>
      <c r="P80" s="746"/>
      <c r="Q80" s="746"/>
      <c r="R80" s="678"/>
      <c r="S80" s="746"/>
      <c r="T80" s="678"/>
      <c r="U80" s="679"/>
      <c r="V80" s="678"/>
      <c r="W80" s="679"/>
      <c r="X80" s="746"/>
      <c r="Y80" s="747"/>
      <c r="Z80" s="746"/>
      <c r="AA80" s="746"/>
      <c r="AB80" s="746"/>
      <c r="AC80" s="678"/>
      <c r="AD80" s="746"/>
      <c r="AE80" s="678"/>
      <c r="AF80" s="679"/>
      <c r="AG80" s="678"/>
      <c r="AH80" s="679"/>
      <c r="AI80" s="747"/>
      <c r="AJ80" s="747"/>
      <c r="AK80" s="899"/>
      <c r="AL80" s="809"/>
      <c r="AM80" s="877"/>
      <c r="AN80" s="877"/>
      <c r="AP80" s="873"/>
      <c r="AQ80" s="873"/>
      <c r="AR80" s="873"/>
      <c r="AS80" s="934"/>
      <c r="AT80" s="844"/>
      <c r="AU80" s="951"/>
      <c r="AV80" s="915"/>
      <c r="AW80" s="809"/>
      <c r="AX80" s="809"/>
      <c r="AY80" s="809"/>
      <c r="AZ80" s="851"/>
      <c r="BA80" s="894"/>
      <c r="BB80" s="958"/>
      <c r="BC80" s="867"/>
      <c r="BD80" s="867"/>
      <c r="BE80" s="867"/>
      <c r="BF80" s="867"/>
      <c r="BG80" s="867"/>
      <c r="BH80" s="867"/>
    </row>
    <row r="81" spans="1:61" s="196" customFormat="1" x14ac:dyDescent="0.2">
      <c r="B81" s="1072" t="s">
        <v>146</v>
      </c>
      <c r="C81" s="1072"/>
      <c r="D81" s="1072"/>
      <c r="E81" s="1072"/>
      <c r="F81" s="1072"/>
      <c r="G81" s="208"/>
      <c r="H81" s="656"/>
      <c r="I81" s="208"/>
      <c r="J81" s="656"/>
      <c r="K81" s="664"/>
      <c r="L81" s="664"/>
      <c r="M81" s="664"/>
      <c r="N81" s="657"/>
      <c r="O81" s="688"/>
      <c r="P81" s="179"/>
      <c r="Q81" s="179"/>
      <c r="R81" s="179"/>
      <c r="S81" s="179"/>
      <c r="T81" s="194"/>
      <c r="U81" s="194"/>
      <c r="V81" s="194"/>
      <c r="W81" s="194"/>
      <c r="X81" s="670"/>
      <c r="Y81" s="657"/>
      <c r="Z81" s="194"/>
      <c r="AA81" s="194"/>
      <c r="AB81" s="194"/>
      <c r="AC81" s="194"/>
      <c r="AD81" s="194"/>
      <c r="AE81" s="194"/>
      <c r="AF81" s="194"/>
      <c r="AG81" s="194"/>
      <c r="AH81" s="194"/>
      <c r="AI81" s="657"/>
      <c r="AJ81" s="657"/>
      <c r="AK81" s="832"/>
      <c r="AL81" s="545"/>
      <c r="AM81" s="622"/>
      <c r="AN81" s="622"/>
      <c r="AP81" s="453"/>
      <c r="AQ81" s="453"/>
      <c r="AR81" s="453"/>
      <c r="AS81" s="924"/>
      <c r="AT81" s="835"/>
      <c r="AU81" s="940"/>
      <c r="AV81" s="837"/>
      <c r="AW81" s="545"/>
      <c r="AX81" s="545"/>
      <c r="AY81" s="545"/>
      <c r="AZ81" s="850"/>
      <c r="BA81" s="183"/>
      <c r="BB81" s="959"/>
      <c r="BC81" s="839"/>
      <c r="BD81" s="839"/>
      <c r="BE81" s="839"/>
      <c r="BF81" s="839"/>
      <c r="BG81" s="839"/>
      <c r="BH81" s="839"/>
    </row>
    <row r="82" spans="1:61" s="184" customFormat="1" ht="18.75" customHeight="1" x14ac:dyDescent="0.2">
      <c r="A82" s="1065">
        <v>20</v>
      </c>
      <c r="B82" s="1065">
        <v>1</v>
      </c>
      <c r="C82" s="1073" t="s">
        <v>407</v>
      </c>
      <c r="D82" s="737" t="s">
        <v>385</v>
      </c>
      <c r="E82" s="658" t="s">
        <v>185</v>
      </c>
      <c r="F82" s="311">
        <v>1</v>
      </c>
      <c r="G82" s="198"/>
      <c r="H82" s="709"/>
      <c r="I82" s="453"/>
      <c r="J82" s="671"/>
      <c r="K82" s="200">
        <v>77580</v>
      </c>
      <c r="L82" s="673">
        <v>1.02</v>
      </c>
      <c r="M82" s="200">
        <v>79130</v>
      </c>
      <c r="N82" s="185">
        <v>949560</v>
      </c>
      <c r="O82" s="315"/>
      <c r="P82" s="311"/>
      <c r="Q82" s="311"/>
      <c r="R82" s="311"/>
      <c r="S82" s="311"/>
      <c r="T82" s="315"/>
      <c r="U82" s="315"/>
      <c r="V82" s="315"/>
      <c r="W82" s="315"/>
      <c r="X82" s="315"/>
      <c r="Y82" s="199"/>
      <c r="Z82" s="311"/>
      <c r="AA82" s="311"/>
      <c r="AB82" s="311"/>
      <c r="AC82" s="311"/>
      <c r="AD82" s="311"/>
      <c r="AE82" s="311"/>
      <c r="AF82" s="315"/>
      <c r="AG82" s="315"/>
      <c r="AH82" s="315"/>
      <c r="AI82" s="199"/>
      <c r="AJ82" s="199">
        <f t="shared" ref="AJ82:AJ87" si="133">F82+P82+AA82</f>
        <v>1</v>
      </c>
      <c r="AK82" s="831">
        <v>949560</v>
      </c>
      <c r="AL82" s="1053">
        <f>AK82+AK83</f>
        <v>1899120</v>
      </c>
      <c r="AM82" s="1052">
        <f>AL82/12*11</f>
        <v>1740860</v>
      </c>
      <c r="AN82" s="1052">
        <f>AL82/12</f>
        <v>158260</v>
      </c>
      <c r="AP82" s="318">
        <f t="shared" ref="AP82:AP87" si="134">24*(365-31)*1</f>
        <v>8016</v>
      </c>
      <c r="AQ82" s="318">
        <f t="shared" ref="AQ82:AQ87" si="135">24*31</f>
        <v>744</v>
      </c>
      <c r="AR82" s="318">
        <f t="shared" ref="AR82:AR87" si="136">SUM(AP82:AQ82)</f>
        <v>8760</v>
      </c>
      <c r="AS82" s="1112">
        <f>AR82+AR83</f>
        <v>17520</v>
      </c>
      <c r="AT82" s="836">
        <v>108</v>
      </c>
      <c r="AU82" s="1102">
        <v>108</v>
      </c>
      <c r="AV82" s="836">
        <f t="shared" ref="AV82:AV87" si="137">AT82*AR82</f>
        <v>946080</v>
      </c>
      <c r="AW82" s="1096">
        <f>AU82*AS82</f>
        <v>1892160</v>
      </c>
      <c r="AX82" s="1096">
        <f>AU82*(AP82+AP83)</f>
        <v>1731456</v>
      </c>
      <c r="AY82" s="1096">
        <f>AW82-AX82</f>
        <v>160704</v>
      </c>
      <c r="AZ82" s="1097">
        <f>AW82-AX82-AY82</f>
        <v>0</v>
      </c>
      <c r="BA82" s="1103">
        <f>AW82-AL82</f>
        <v>-6960</v>
      </c>
      <c r="BB82" s="959">
        <v>2</v>
      </c>
      <c r="BC82" s="617">
        <f>AS82*AU82</f>
        <v>1892160</v>
      </c>
      <c r="BD82" s="617">
        <f>(AP82+AP83)*AU82</f>
        <v>1731456</v>
      </c>
      <c r="BE82" s="617">
        <f>BC82-BD82</f>
        <v>160704</v>
      </c>
      <c r="BF82" s="838"/>
      <c r="BG82" s="838">
        <f>BC82-AW82</f>
        <v>0</v>
      </c>
      <c r="BH82" s="838">
        <f>BD82-AX82</f>
        <v>0</v>
      </c>
      <c r="BI82" s="838">
        <f>BE82-AY82</f>
        <v>0</v>
      </c>
    </row>
    <row r="83" spans="1:61" s="184" customFormat="1" ht="18.75" customHeight="1" x14ac:dyDescent="0.2">
      <c r="A83" s="1066"/>
      <c r="B83" s="1066"/>
      <c r="C83" s="1074"/>
      <c r="D83" s="737" t="s">
        <v>383</v>
      </c>
      <c r="E83" s="658" t="s">
        <v>185</v>
      </c>
      <c r="F83" s="311">
        <v>1</v>
      </c>
      <c r="G83" s="198">
        <v>71700</v>
      </c>
      <c r="H83" s="709">
        <v>1.04</v>
      </c>
      <c r="I83" s="453">
        <v>74570</v>
      </c>
      <c r="J83" s="671">
        <v>1.0403</v>
      </c>
      <c r="K83" s="200">
        <v>77580</v>
      </c>
      <c r="L83" s="673">
        <v>1.02</v>
      </c>
      <c r="M83" s="200">
        <v>79130</v>
      </c>
      <c r="N83" s="185">
        <v>949560</v>
      </c>
      <c r="O83" s="710"/>
      <c r="P83" s="311"/>
      <c r="Q83" s="311"/>
      <c r="R83" s="311"/>
      <c r="S83" s="311"/>
      <c r="T83" s="315"/>
      <c r="U83" s="315"/>
      <c r="V83" s="315"/>
      <c r="W83" s="315"/>
      <c r="X83" s="315"/>
      <c r="Y83" s="199"/>
      <c r="Z83" s="311"/>
      <c r="AA83" s="311"/>
      <c r="AB83" s="311"/>
      <c r="AC83" s="311"/>
      <c r="AD83" s="311"/>
      <c r="AE83" s="311"/>
      <c r="AF83" s="315"/>
      <c r="AG83" s="315"/>
      <c r="AH83" s="315"/>
      <c r="AI83" s="199"/>
      <c r="AJ83" s="199">
        <f t="shared" si="133"/>
        <v>1</v>
      </c>
      <c r="AK83" s="831">
        <v>949560</v>
      </c>
      <c r="AL83" s="1053"/>
      <c r="AM83" s="1052"/>
      <c r="AN83" s="1052"/>
      <c r="AP83" s="318">
        <f t="shared" si="134"/>
        <v>8016</v>
      </c>
      <c r="AQ83" s="318">
        <f t="shared" si="135"/>
        <v>744</v>
      </c>
      <c r="AR83" s="318">
        <f t="shared" si="136"/>
        <v>8760</v>
      </c>
      <c r="AS83" s="1112"/>
      <c r="AT83" s="836">
        <v>108</v>
      </c>
      <c r="AU83" s="1102"/>
      <c r="AV83" s="836">
        <f t="shared" si="137"/>
        <v>946080</v>
      </c>
      <c r="AW83" s="1096"/>
      <c r="AX83" s="1096"/>
      <c r="AY83" s="1096"/>
      <c r="AZ83" s="1097"/>
      <c r="BA83" s="1103"/>
      <c r="BB83" s="959"/>
      <c r="BC83" s="838"/>
      <c r="BD83" s="838"/>
      <c r="BE83" s="838"/>
      <c r="BF83" s="838"/>
      <c r="BG83" s="838"/>
      <c r="BH83" s="838"/>
    </row>
    <row r="84" spans="1:61" s="184" customFormat="1" ht="18.75" customHeight="1" x14ac:dyDescent="0.2">
      <c r="A84" s="748">
        <v>21</v>
      </c>
      <c r="B84" s="748">
        <v>2</v>
      </c>
      <c r="C84" s="749" t="s">
        <v>408</v>
      </c>
      <c r="D84" s="737" t="s">
        <v>412</v>
      </c>
      <c r="E84" s="658" t="s">
        <v>185</v>
      </c>
      <c r="F84" s="311">
        <v>1</v>
      </c>
      <c r="G84" s="198"/>
      <c r="H84" s="709"/>
      <c r="I84" s="453"/>
      <c r="J84" s="671"/>
      <c r="K84" s="200">
        <v>77580</v>
      </c>
      <c r="L84" s="673"/>
      <c r="M84" s="200">
        <v>79130</v>
      </c>
      <c r="N84" s="185">
        <v>949560</v>
      </c>
      <c r="O84" s="710"/>
      <c r="P84" s="311"/>
      <c r="Q84" s="311"/>
      <c r="R84" s="311"/>
      <c r="S84" s="311"/>
      <c r="T84" s="315"/>
      <c r="U84" s="315"/>
      <c r="V84" s="315"/>
      <c r="W84" s="315"/>
      <c r="X84" s="315"/>
      <c r="Y84" s="199"/>
      <c r="Z84" s="311"/>
      <c r="AA84" s="311"/>
      <c r="AB84" s="311"/>
      <c r="AC84" s="311"/>
      <c r="AD84" s="311"/>
      <c r="AE84" s="311"/>
      <c r="AF84" s="315"/>
      <c r="AG84" s="315"/>
      <c r="AH84" s="315"/>
      <c r="AI84" s="199"/>
      <c r="AJ84" s="199">
        <f t="shared" si="133"/>
        <v>1</v>
      </c>
      <c r="AK84" s="831">
        <v>949560</v>
      </c>
      <c r="AL84" s="200">
        <f t="shared" ref="AL84:AL85" si="138">AK84</f>
        <v>949560</v>
      </c>
      <c r="AM84" s="199">
        <f t="shared" ref="AM84:AM85" si="139">AL84/12*11</f>
        <v>870430</v>
      </c>
      <c r="AN84" s="199">
        <f t="shared" ref="AN84:AN85" si="140">AL84/12</f>
        <v>79130</v>
      </c>
      <c r="AP84" s="318">
        <f t="shared" si="134"/>
        <v>8016</v>
      </c>
      <c r="AQ84" s="318">
        <f t="shared" si="135"/>
        <v>744</v>
      </c>
      <c r="AR84" s="318">
        <f t="shared" si="136"/>
        <v>8760</v>
      </c>
      <c r="AS84" s="925">
        <f t="shared" ref="AS84:AS85" si="141">AR84</f>
        <v>8760</v>
      </c>
      <c r="AT84" s="836">
        <v>108</v>
      </c>
      <c r="AU84" s="941">
        <v>108</v>
      </c>
      <c r="AV84" s="836">
        <f t="shared" si="137"/>
        <v>946080</v>
      </c>
      <c r="AW84" s="885">
        <f t="shared" ref="AW84:AW85" si="142">AV84</f>
        <v>946080</v>
      </c>
      <c r="AX84" s="885">
        <f t="shared" ref="AX84:AX85" si="143">AU84*AP84</f>
        <v>865728</v>
      </c>
      <c r="AY84" s="885">
        <f t="shared" ref="AY84:AY85" si="144">AW84-AX84</f>
        <v>80352</v>
      </c>
      <c r="AZ84" s="387">
        <f t="shared" ref="AZ84:AZ85" si="145">AW84-AX84-AY84</f>
        <v>0</v>
      </c>
      <c r="BA84" s="596">
        <f t="shared" ref="BA84:BA85" si="146">AW84-AL84</f>
        <v>-3480</v>
      </c>
      <c r="BB84" s="959">
        <v>1</v>
      </c>
      <c r="BC84" s="617">
        <f t="shared" ref="BC84:BC85" si="147">AS84*AU84</f>
        <v>946080</v>
      </c>
      <c r="BD84" s="617">
        <f t="shared" ref="BD84:BD85" si="148">(AP84)*AU84</f>
        <v>865728</v>
      </c>
      <c r="BE84" s="617">
        <f t="shared" ref="BE84:BE85" si="149">BC84-BD84</f>
        <v>80352</v>
      </c>
      <c r="BF84" s="838"/>
      <c r="BG84" s="838">
        <f t="shared" ref="BG84:BG85" si="150">BC84-AW84</f>
        <v>0</v>
      </c>
      <c r="BH84" s="838">
        <f t="shared" ref="BH84:BH85" si="151">BD84-AX84</f>
        <v>0</v>
      </c>
      <c r="BI84" s="838">
        <f t="shared" ref="BI84:BI85" si="152">BE84-AY84</f>
        <v>0</v>
      </c>
    </row>
    <row r="85" spans="1:61" s="184" customFormat="1" ht="18.75" customHeight="1" x14ac:dyDescent="0.2">
      <c r="A85" s="748">
        <v>22</v>
      </c>
      <c r="B85" s="748">
        <v>3</v>
      </c>
      <c r="C85" s="749" t="s">
        <v>409</v>
      </c>
      <c r="D85" s="737" t="s">
        <v>413</v>
      </c>
      <c r="E85" s="658" t="s">
        <v>185</v>
      </c>
      <c r="F85" s="311">
        <v>1</v>
      </c>
      <c r="G85" s="198"/>
      <c r="H85" s="709"/>
      <c r="I85" s="453"/>
      <c r="J85" s="671"/>
      <c r="K85" s="200">
        <v>77580</v>
      </c>
      <c r="L85" s="673"/>
      <c r="M85" s="200">
        <v>79130</v>
      </c>
      <c r="N85" s="185">
        <v>949560</v>
      </c>
      <c r="O85" s="710"/>
      <c r="P85" s="311"/>
      <c r="Q85" s="311"/>
      <c r="R85" s="311"/>
      <c r="S85" s="311"/>
      <c r="T85" s="315"/>
      <c r="U85" s="315"/>
      <c r="V85" s="315"/>
      <c r="W85" s="315"/>
      <c r="X85" s="315"/>
      <c r="Y85" s="199"/>
      <c r="Z85" s="311"/>
      <c r="AA85" s="311"/>
      <c r="AB85" s="311"/>
      <c r="AC85" s="311"/>
      <c r="AD85" s="311"/>
      <c r="AE85" s="311"/>
      <c r="AF85" s="315"/>
      <c r="AG85" s="315"/>
      <c r="AH85" s="315"/>
      <c r="AI85" s="199"/>
      <c r="AJ85" s="199">
        <f t="shared" si="133"/>
        <v>1</v>
      </c>
      <c r="AK85" s="831">
        <v>949560</v>
      </c>
      <c r="AL85" s="200">
        <f t="shared" si="138"/>
        <v>949560</v>
      </c>
      <c r="AM85" s="199">
        <f t="shared" si="139"/>
        <v>870430</v>
      </c>
      <c r="AN85" s="199">
        <f t="shared" si="140"/>
        <v>79130</v>
      </c>
      <c r="AP85" s="318">
        <f t="shared" si="134"/>
        <v>8016</v>
      </c>
      <c r="AQ85" s="318">
        <f t="shared" si="135"/>
        <v>744</v>
      </c>
      <c r="AR85" s="318">
        <f t="shared" si="136"/>
        <v>8760</v>
      </c>
      <c r="AS85" s="925">
        <f t="shared" si="141"/>
        <v>8760</v>
      </c>
      <c r="AT85" s="836">
        <v>108</v>
      </c>
      <c r="AU85" s="941">
        <v>108</v>
      </c>
      <c r="AV85" s="836">
        <f t="shared" si="137"/>
        <v>946080</v>
      </c>
      <c r="AW85" s="885">
        <f t="shared" si="142"/>
        <v>946080</v>
      </c>
      <c r="AX85" s="885">
        <f t="shared" si="143"/>
        <v>865728</v>
      </c>
      <c r="AY85" s="885">
        <f t="shared" si="144"/>
        <v>80352</v>
      </c>
      <c r="AZ85" s="387">
        <f t="shared" si="145"/>
        <v>0</v>
      </c>
      <c r="BA85" s="596">
        <f t="shared" si="146"/>
        <v>-3480</v>
      </c>
      <c r="BB85" s="959">
        <v>1</v>
      </c>
      <c r="BC85" s="617">
        <f t="shared" si="147"/>
        <v>946080</v>
      </c>
      <c r="BD85" s="617">
        <f t="shared" si="148"/>
        <v>865728</v>
      </c>
      <c r="BE85" s="617">
        <f t="shared" si="149"/>
        <v>80352</v>
      </c>
      <c r="BF85" s="838"/>
      <c r="BG85" s="838">
        <f t="shared" si="150"/>
        <v>0</v>
      </c>
      <c r="BH85" s="838">
        <f t="shared" si="151"/>
        <v>0</v>
      </c>
      <c r="BI85" s="838">
        <f t="shared" si="152"/>
        <v>0</v>
      </c>
    </row>
    <row r="86" spans="1:61" s="184" customFormat="1" ht="18.75" customHeight="1" x14ac:dyDescent="0.2">
      <c r="A86" s="1045">
        <v>23</v>
      </c>
      <c r="B86" s="1045">
        <v>4</v>
      </c>
      <c r="C86" s="1046" t="s">
        <v>400</v>
      </c>
      <c r="D86" s="737" t="s">
        <v>113</v>
      </c>
      <c r="E86" s="658" t="s">
        <v>185</v>
      </c>
      <c r="F86" s="311">
        <v>1</v>
      </c>
      <c r="G86" s="198">
        <v>71700</v>
      </c>
      <c r="H86" s="709">
        <v>1.04</v>
      </c>
      <c r="I86" s="453">
        <v>74570</v>
      </c>
      <c r="J86" s="671">
        <v>1.0403</v>
      </c>
      <c r="K86" s="200">
        <v>77580</v>
      </c>
      <c r="L86" s="673">
        <v>1.02</v>
      </c>
      <c r="M86" s="200">
        <v>79130</v>
      </c>
      <c r="N86" s="185">
        <v>949560</v>
      </c>
      <c r="O86" s="710"/>
      <c r="P86" s="311"/>
      <c r="Q86" s="311"/>
      <c r="R86" s="311"/>
      <c r="S86" s="311"/>
      <c r="T86" s="315"/>
      <c r="U86" s="315"/>
      <c r="V86" s="315"/>
      <c r="W86" s="315"/>
      <c r="X86" s="315"/>
      <c r="Y86" s="199"/>
      <c r="Z86" s="311"/>
      <c r="AA86" s="311"/>
      <c r="AB86" s="311"/>
      <c r="AC86" s="311"/>
      <c r="AD86" s="311"/>
      <c r="AE86" s="311"/>
      <c r="AF86" s="315"/>
      <c r="AG86" s="315"/>
      <c r="AH86" s="315"/>
      <c r="AI86" s="199"/>
      <c r="AJ86" s="199">
        <f t="shared" si="133"/>
        <v>1</v>
      </c>
      <c r="AK86" s="831">
        <v>949560</v>
      </c>
      <c r="AL86" s="1053">
        <f>AK86+AK87</f>
        <v>1899120</v>
      </c>
      <c r="AM86" s="1052">
        <f>AL86/12*11</f>
        <v>1740860</v>
      </c>
      <c r="AN86" s="1052">
        <f>AL86/12</f>
        <v>158260</v>
      </c>
      <c r="AP86" s="318">
        <f t="shared" si="134"/>
        <v>8016</v>
      </c>
      <c r="AQ86" s="318">
        <f t="shared" si="135"/>
        <v>744</v>
      </c>
      <c r="AR86" s="318">
        <f t="shared" si="136"/>
        <v>8760</v>
      </c>
      <c r="AS86" s="1112">
        <f>AR86+AR87</f>
        <v>17520</v>
      </c>
      <c r="AT86" s="836">
        <v>108</v>
      </c>
      <c r="AU86" s="1102">
        <v>108</v>
      </c>
      <c r="AV86" s="836">
        <f t="shared" si="137"/>
        <v>946080</v>
      </c>
      <c r="AW86" s="1096">
        <f>AU86*AS86</f>
        <v>1892160</v>
      </c>
      <c r="AX86" s="1096">
        <f>AU86*(AP86+AP87)</f>
        <v>1731456</v>
      </c>
      <c r="AY86" s="1096">
        <f>AW86-AX86</f>
        <v>160704</v>
      </c>
      <c r="AZ86" s="1097">
        <f>AW86-AX86-AY86</f>
        <v>0</v>
      </c>
      <c r="BA86" s="1103">
        <f>AW86-AL86</f>
        <v>-6960</v>
      </c>
      <c r="BB86" s="959">
        <v>2</v>
      </c>
      <c r="BC86" s="617">
        <f>AS86*AU86</f>
        <v>1892160</v>
      </c>
      <c r="BD86" s="617">
        <f>(AP86+AP87)*AU86</f>
        <v>1731456</v>
      </c>
      <c r="BE86" s="617">
        <f>BC86-BD86</f>
        <v>160704</v>
      </c>
      <c r="BF86" s="838"/>
      <c r="BG86" s="838">
        <f>BC86-AW86</f>
        <v>0</v>
      </c>
      <c r="BH86" s="838">
        <f>BD86-AX86</f>
        <v>0</v>
      </c>
      <c r="BI86" s="838">
        <f>BE86-AY86</f>
        <v>0</v>
      </c>
    </row>
    <row r="87" spans="1:61" s="184" customFormat="1" ht="18.75" customHeight="1" x14ac:dyDescent="0.2">
      <c r="A87" s="1045"/>
      <c r="B87" s="1045"/>
      <c r="C87" s="1046"/>
      <c r="D87" s="737" t="s">
        <v>112</v>
      </c>
      <c r="E87" s="658" t="s">
        <v>185</v>
      </c>
      <c r="F87" s="311">
        <v>1</v>
      </c>
      <c r="G87" s="198">
        <v>71700</v>
      </c>
      <c r="H87" s="709">
        <v>1.04</v>
      </c>
      <c r="I87" s="453">
        <v>74570</v>
      </c>
      <c r="J87" s="671">
        <v>1.0403</v>
      </c>
      <c r="K87" s="200">
        <v>77580</v>
      </c>
      <c r="L87" s="673">
        <v>1.02</v>
      </c>
      <c r="M87" s="200">
        <v>79130</v>
      </c>
      <c r="N87" s="185">
        <v>949560</v>
      </c>
      <c r="O87" s="710"/>
      <c r="P87" s="311"/>
      <c r="Q87" s="311"/>
      <c r="R87" s="311"/>
      <c r="S87" s="311"/>
      <c r="T87" s="315"/>
      <c r="U87" s="315"/>
      <c r="V87" s="315"/>
      <c r="W87" s="315"/>
      <c r="X87" s="315"/>
      <c r="Y87" s="199"/>
      <c r="Z87" s="311"/>
      <c r="AA87" s="311"/>
      <c r="AB87" s="311"/>
      <c r="AC87" s="311"/>
      <c r="AD87" s="311"/>
      <c r="AE87" s="311"/>
      <c r="AF87" s="315"/>
      <c r="AG87" s="315"/>
      <c r="AH87" s="315"/>
      <c r="AI87" s="199"/>
      <c r="AJ87" s="199">
        <f t="shared" si="133"/>
        <v>1</v>
      </c>
      <c r="AK87" s="831">
        <v>949560</v>
      </c>
      <c r="AL87" s="1053"/>
      <c r="AM87" s="1052"/>
      <c r="AN87" s="1052"/>
      <c r="AP87" s="318">
        <f t="shared" si="134"/>
        <v>8016</v>
      </c>
      <c r="AQ87" s="318">
        <f t="shared" si="135"/>
        <v>744</v>
      </c>
      <c r="AR87" s="318">
        <f t="shared" si="136"/>
        <v>8760</v>
      </c>
      <c r="AS87" s="1112"/>
      <c r="AT87" s="836">
        <v>108</v>
      </c>
      <c r="AU87" s="1102"/>
      <c r="AV87" s="836">
        <f t="shared" si="137"/>
        <v>946080</v>
      </c>
      <c r="AW87" s="1096"/>
      <c r="AX87" s="1096"/>
      <c r="AY87" s="1096"/>
      <c r="AZ87" s="1097"/>
      <c r="BA87" s="1103"/>
      <c r="BB87" s="959"/>
      <c r="BC87" s="617"/>
      <c r="BD87" s="617"/>
      <c r="BE87" s="617"/>
      <c r="BF87" s="838"/>
      <c r="BG87" s="838"/>
      <c r="BH87" s="838"/>
      <c r="BI87" s="838"/>
    </row>
    <row r="88" spans="1:61" s="767" customFormat="1" ht="18.75" customHeight="1" x14ac:dyDescent="0.2">
      <c r="A88" s="761"/>
      <c r="B88" s="761"/>
      <c r="C88" s="762" t="s">
        <v>1</v>
      </c>
      <c r="D88" s="763"/>
      <c r="E88" s="764"/>
      <c r="F88" s="765">
        <f>SUM(F82:F87)</f>
        <v>6</v>
      </c>
      <c r="G88" s="765"/>
      <c r="H88" s="765"/>
      <c r="I88" s="765"/>
      <c r="J88" s="765"/>
      <c r="K88" s="765"/>
      <c r="L88" s="765"/>
      <c r="M88" s="765"/>
      <c r="N88" s="765">
        <f>SUM(N82:N87)</f>
        <v>5697360</v>
      </c>
      <c r="O88" s="765"/>
      <c r="P88" s="765"/>
      <c r="Q88" s="765"/>
      <c r="R88" s="765"/>
      <c r="S88" s="765"/>
      <c r="T88" s="765"/>
      <c r="U88" s="765"/>
      <c r="V88" s="765"/>
      <c r="W88" s="765"/>
      <c r="X88" s="765"/>
      <c r="Y88" s="765"/>
      <c r="Z88" s="765"/>
      <c r="AA88" s="765"/>
      <c r="AB88" s="765"/>
      <c r="AC88" s="765"/>
      <c r="AD88" s="765"/>
      <c r="AE88" s="765"/>
      <c r="AF88" s="765"/>
      <c r="AG88" s="765"/>
      <c r="AH88" s="765"/>
      <c r="AI88" s="765"/>
      <c r="AJ88" s="765">
        <f>SUM(AJ82:AJ87)</f>
        <v>6</v>
      </c>
      <c r="AK88" s="878">
        <f>SUM(AK82:AK87)</f>
        <v>5697360</v>
      </c>
      <c r="AL88" s="816">
        <f>SUM(AL82:AL87)</f>
        <v>5697360</v>
      </c>
      <c r="AM88" s="878">
        <f>SUM(AM82:AM87)</f>
        <v>5222580</v>
      </c>
      <c r="AN88" s="878">
        <f>SUM(AN82:AN87)</f>
        <v>474780</v>
      </c>
      <c r="AO88" s="766"/>
      <c r="AP88" s="764">
        <f>SUM(AP82:AP87)</f>
        <v>48096</v>
      </c>
      <c r="AQ88" s="764">
        <f>SUM(AQ82:AQ87)</f>
        <v>4464</v>
      </c>
      <c r="AR88" s="764">
        <f>SUM(AR82:AR87)</f>
        <v>52560</v>
      </c>
      <c r="AS88" s="926">
        <f>SUM(AS82:AS87)</f>
        <v>52560</v>
      </c>
      <c r="AT88" s="826">
        <f>AV88/AR88</f>
        <v>108</v>
      </c>
      <c r="AU88" s="942">
        <f>AW88/AS88</f>
        <v>108</v>
      </c>
      <c r="AV88" s="858">
        <f>SUM(AV82:AV87)</f>
        <v>5676480</v>
      </c>
      <c r="AW88" s="890">
        <f>SUM(AW82:AW87)</f>
        <v>5676480</v>
      </c>
      <c r="AX88" s="890">
        <f>SUM(AX82:AX87)</f>
        <v>5194368</v>
      </c>
      <c r="AY88" s="890">
        <f>SUM(AY82:AY87)</f>
        <v>482112</v>
      </c>
      <c r="AZ88" s="847"/>
      <c r="BA88" s="183"/>
      <c r="BB88" s="960"/>
      <c r="BC88" s="969">
        <f>AS88*AU88</f>
        <v>5676480</v>
      </c>
      <c r="BD88" s="969">
        <f>(AP88)*AU88</f>
        <v>5194368</v>
      </c>
      <c r="BE88" s="969">
        <f t="shared" ref="BE88" si="153">BC88-BD88</f>
        <v>482112</v>
      </c>
      <c r="BF88" s="969"/>
      <c r="BG88" s="969">
        <f t="shared" ref="BG88" si="154">BC88-AW88</f>
        <v>0</v>
      </c>
      <c r="BH88" s="969">
        <f t="shared" ref="BH88" si="155">BD88-AX88</f>
        <v>0</v>
      </c>
      <c r="BI88" s="969">
        <f t="shared" ref="BI88" si="156">BE88-AY88</f>
        <v>0</v>
      </c>
    </row>
    <row r="89" spans="1:61" s="196" customFormat="1" ht="18.75" customHeight="1" x14ac:dyDescent="0.2">
      <c r="B89" s="1072" t="s">
        <v>96</v>
      </c>
      <c r="C89" s="1072"/>
      <c r="D89" s="1072"/>
      <c r="E89" s="1072"/>
      <c r="F89" s="1072"/>
      <c r="G89" s="208"/>
      <c r="H89" s="656"/>
      <c r="I89" s="208"/>
      <c r="J89" s="656"/>
      <c r="K89" s="680"/>
      <c r="L89" s="729"/>
      <c r="M89" s="200"/>
      <c r="N89" s="185"/>
      <c r="O89" s="672"/>
      <c r="P89" s="179"/>
      <c r="Q89" s="179"/>
      <c r="R89" s="179"/>
      <c r="S89" s="179"/>
      <c r="T89" s="194"/>
      <c r="U89" s="194"/>
      <c r="V89" s="194"/>
      <c r="W89" s="194"/>
      <c r="X89" s="194"/>
      <c r="Y89" s="622"/>
      <c r="Z89" s="194"/>
      <c r="AA89" s="194"/>
      <c r="AB89" s="194"/>
      <c r="AC89" s="194"/>
      <c r="AD89" s="194"/>
      <c r="AE89" s="194"/>
      <c r="AF89" s="194"/>
      <c r="AG89" s="194"/>
      <c r="AH89" s="194"/>
      <c r="AI89" s="596"/>
      <c r="AJ89" s="596"/>
      <c r="AK89" s="831"/>
      <c r="AL89" s="200"/>
      <c r="AM89" s="199"/>
      <c r="AN89" s="199"/>
      <c r="AO89" s="184"/>
      <c r="AP89" s="596"/>
      <c r="AQ89" s="596"/>
      <c r="AR89" s="596"/>
      <c r="AS89" s="927"/>
      <c r="AT89" s="837"/>
      <c r="AU89" s="943"/>
      <c r="AV89" s="836"/>
      <c r="AW89" s="200"/>
      <c r="AX89" s="200"/>
      <c r="AY89" s="200"/>
      <c r="AZ89" s="850"/>
      <c r="BA89" s="183"/>
      <c r="BB89" s="959"/>
      <c r="BC89" s="839"/>
      <c r="BD89" s="839"/>
      <c r="BE89" s="839"/>
      <c r="BF89" s="839"/>
      <c r="BG89" s="839"/>
      <c r="BH89" s="839"/>
    </row>
    <row r="90" spans="1:61" s="183" customFormat="1" ht="18.75" customHeight="1" x14ac:dyDescent="0.2">
      <c r="A90" s="1041">
        <v>24</v>
      </c>
      <c r="B90" s="1041">
        <v>5</v>
      </c>
      <c r="C90" s="1042" t="s">
        <v>252</v>
      </c>
      <c r="D90" s="737" t="s">
        <v>356</v>
      </c>
      <c r="E90" s="659" t="s">
        <v>185</v>
      </c>
      <c r="F90" s="199">
        <v>1</v>
      </c>
      <c r="G90" s="199">
        <v>71700</v>
      </c>
      <c r="H90" s="658">
        <v>1.04</v>
      </c>
      <c r="I90" s="198">
        <v>74570</v>
      </c>
      <c r="J90" s="671">
        <v>1.0403</v>
      </c>
      <c r="K90" s="200">
        <v>77580</v>
      </c>
      <c r="L90" s="673">
        <v>1.02</v>
      </c>
      <c r="M90" s="200">
        <v>79130</v>
      </c>
      <c r="N90" s="185">
        <v>949560</v>
      </c>
      <c r="O90" s="315"/>
      <c r="P90" s="311"/>
      <c r="Q90" s="199"/>
      <c r="R90" s="658"/>
      <c r="S90" s="199"/>
      <c r="T90" s="658"/>
      <c r="U90" s="200"/>
      <c r="V90" s="200"/>
      <c r="W90" s="200"/>
      <c r="X90" s="315"/>
      <c r="Y90" s="185"/>
      <c r="Z90" s="318"/>
      <c r="AA90" s="318"/>
      <c r="AB90" s="318"/>
      <c r="AC90" s="318"/>
      <c r="AD90" s="318"/>
      <c r="AE90" s="318"/>
      <c r="AF90" s="318"/>
      <c r="AG90" s="318"/>
      <c r="AH90" s="318"/>
      <c r="AI90" s="318"/>
      <c r="AJ90" s="199">
        <f t="shared" ref="AJ90:AJ120" si="157">F90+P90+AA90</f>
        <v>1</v>
      </c>
      <c r="AK90" s="831">
        <v>949560</v>
      </c>
      <c r="AL90" s="1053">
        <f>AK90+AK91+AK92+AK93+AK94+AK95</f>
        <v>6327690</v>
      </c>
      <c r="AM90" s="1052">
        <f>AL90/12*11</f>
        <v>5800382.5</v>
      </c>
      <c r="AN90" s="1052">
        <f>AL90/12</f>
        <v>527307.5</v>
      </c>
      <c r="AO90" s="184"/>
      <c r="AP90" s="318">
        <f t="shared" ref="AP90:AP95" si="158">24*(365-31)*1</f>
        <v>8016</v>
      </c>
      <c r="AQ90" s="318">
        <f t="shared" ref="AQ90:AQ95" si="159">24*31</f>
        <v>744</v>
      </c>
      <c r="AR90" s="318">
        <f t="shared" ref="AR90:AR96" si="160">SUM(AP90:AQ90)</f>
        <v>8760</v>
      </c>
      <c r="AS90" s="1112">
        <f>AR90+AR91+AR92+AR93+AR94+AR95</f>
        <v>52560</v>
      </c>
      <c r="AT90" s="836">
        <v>108</v>
      </c>
      <c r="AU90" s="1102">
        <v>121</v>
      </c>
      <c r="AV90" s="836">
        <f t="shared" ref="AV90:AV120" si="161">AT90*AR90</f>
        <v>946080</v>
      </c>
      <c r="AW90" s="1096">
        <f>AS90*AU90</f>
        <v>6359760</v>
      </c>
      <c r="AX90" s="1096">
        <f>AU90*(AP90+AP91+AP92+AP93+AP94+AP95)</f>
        <v>5819616</v>
      </c>
      <c r="AY90" s="1096">
        <f>AW90-AX90</f>
        <v>540144</v>
      </c>
      <c r="AZ90" s="1104">
        <f>AW90-AX90-AY90</f>
        <v>0</v>
      </c>
      <c r="BA90" s="1103">
        <f>AW90-AL90</f>
        <v>32070</v>
      </c>
      <c r="BB90" s="959">
        <v>6</v>
      </c>
      <c r="BC90" s="617">
        <f>AS90*AU90</f>
        <v>6359760</v>
      </c>
      <c r="BD90" s="617">
        <f>(AP90+AP91+AP92+AP93+AP94+AP95)*AU90</f>
        <v>5819616</v>
      </c>
      <c r="BE90" s="617">
        <f t="shared" ref="BE90" si="162">BC90-BD90</f>
        <v>540144</v>
      </c>
      <c r="BF90" s="839"/>
      <c r="BG90" s="838">
        <f t="shared" ref="BG90" si="163">BC90-AW90</f>
        <v>0</v>
      </c>
      <c r="BH90" s="838">
        <f t="shared" ref="BH90" si="164">BD90-AX90</f>
        <v>0</v>
      </c>
      <c r="BI90" s="838">
        <f t="shared" ref="BI90" si="165">BE90-AY90</f>
        <v>0</v>
      </c>
    </row>
    <row r="91" spans="1:61" s="183" customFormat="1" ht="18.75" customHeight="1" x14ac:dyDescent="0.2">
      <c r="A91" s="1041"/>
      <c r="B91" s="1041"/>
      <c r="C91" s="1042"/>
      <c r="D91" s="737" t="s">
        <v>357</v>
      </c>
      <c r="E91" s="659" t="s">
        <v>185</v>
      </c>
      <c r="F91" s="199">
        <v>1</v>
      </c>
      <c r="G91" s="199">
        <v>71700</v>
      </c>
      <c r="H91" s="658">
        <v>1.04</v>
      </c>
      <c r="I91" s="198">
        <v>74570</v>
      </c>
      <c r="J91" s="671">
        <v>1.0403</v>
      </c>
      <c r="K91" s="200">
        <v>77580</v>
      </c>
      <c r="L91" s="673">
        <v>1.02</v>
      </c>
      <c r="M91" s="200">
        <v>79130</v>
      </c>
      <c r="N91" s="185">
        <v>949560</v>
      </c>
      <c r="O91" s="315"/>
      <c r="P91" s="311"/>
      <c r="Q91" s="199"/>
      <c r="R91" s="658"/>
      <c r="S91" s="199"/>
      <c r="T91" s="658"/>
      <c r="U91" s="200"/>
      <c r="V91" s="200"/>
      <c r="W91" s="200"/>
      <c r="X91" s="315"/>
      <c r="Y91" s="185"/>
      <c r="Z91" s="318"/>
      <c r="AA91" s="318"/>
      <c r="AB91" s="318"/>
      <c r="AC91" s="318"/>
      <c r="AD91" s="318"/>
      <c r="AE91" s="318"/>
      <c r="AF91" s="318"/>
      <c r="AG91" s="318"/>
      <c r="AH91" s="318"/>
      <c r="AI91" s="318"/>
      <c r="AJ91" s="199">
        <f t="shared" si="157"/>
        <v>1</v>
      </c>
      <c r="AK91" s="831">
        <v>949560</v>
      </c>
      <c r="AL91" s="1053"/>
      <c r="AM91" s="1052"/>
      <c r="AN91" s="1052"/>
      <c r="AO91" s="184"/>
      <c r="AP91" s="318">
        <f t="shared" si="158"/>
        <v>8016</v>
      </c>
      <c r="AQ91" s="318">
        <f t="shared" si="159"/>
        <v>744</v>
      </c>
      <c r="AR91" s="318">
        <f t="shared" si="160"/>
        <v>8760</v>
      </c>
      <c r="AS91" s="1112"/>
      <c r="AT91" s="836">
        <v>108</v>
      </c>
      <c r="AU91" s="1102"/>
      <c r="AV91" s="836">
        <f t="shared" si="161"/>
        <v>946080</v>
      </c>
      <c r="AW91" s="1096"/>
      <c r="AX91" s="1096"/>
      <c r="AY91" s="1096"/>
      <c r="AZ91" s="1104"/>
      <c r="BA91" s="1103"/>
      <c r="BB91" s="959"/>
      <c r="BC91" s="839"/>
      <c r="BD91" s="839"/>
      <c r="BE91" s="839"/>
      <c r="BF91" s="839"/>
      <c r="BG91" s="839"/>
      <c r="BH91" s="839"/>
    </row>
    <row r="92" spans="1:61" s="183" customFormat="1" ht="18.75" customHeight="1" x14ac:dyDescent="0.2">
      <c r="A92" s="1041"/>
      <c r="B92" s="1041"/>
      <c r="C92" s="1042"/>
      <c r="D92" s="737" t="s">
        <v>358</v>
      </c>
      <c r="E92" s="659" t="s">
        <v>185</v>
      </c>
      <c r="F92" s="199">
        <v>1</v>
      </c>
      <c r="G92" s="199">
        <v>71700</v>
      </c>
      <c r="H92" s="658">
        <v>1.04</v>
      </c>
      <c r="I92" s="198">
        <v>74570</v>
      </c>
      <c r="J92" s="671">
        <v>1.0403</v>
      </c>
      <c r="K92" s="200">
        <v>77580</v>
      </c>
      <c r="L92" s="673">
        <v>1.02</v>
      </c>
      <c r="M92" s="200">
        <v>79130</v>
      </c>
      <c r="N92" s="185">
        <v>949560</v>
      </c>
      <c r="O92" s="315"/>
      <c r="P92" s="311"/>
      <c r="Q92" s="199"/>
      <c r="R92" s="658"/>
      <c r="S92" s="199"/>
      <c r="T92" s="658"/>
      <c r="U92" s="200"/>
      <c r="V92" s="200"/>
      <c r="W92" s="200"/>
      <c r="X92" s="315"/>
      <c r="Y92" s="185"/>
      <c r="Z92" s="318"/>
      <c r="AA92" s="318"/>
      <c r="AB92" s="318"/>
      <c r="AC92" s="318"/>
      <c r="AD92" s="318"/>
      <c r="AE92" s="318"/>
      <c r="AF92" s="318"/>
      <c r="AG92" s="318"/>
      <c r="AH92" s="318"/>
      <c r="AI92" s="318"/>
      <c r="AJ92" s="199">
        <f t="shared" si="157"/>
        <v>1</v>
      </c>
      <c r="AK92" s="831">
        <v>949560</v>
      </c>
      <c r="AL92" s="1053"/>
      <c r="AM92" s="1052"/>
      <c r="AN92" s="1052"/>
      <c r="AO92" s="184"/>
      <c r="AP92" s="318">
        <f t="shared" si="158"/>
        <v>8016</v>
      </c>
      <c r="AQ92" s="318">
        <f t="shared" si="159"/>
        <v>744</v>
      </c>
      <c r="AR92" s="318">
        <f t="shared" si="160"/>
        <v>8760</v>
      </c>
      <c r="AS92" s="1112"/>
      <c r="AT92" s="836">
        <v>108</v>
      </c>
      <c r="AU92" s="1102"/>
      <c r="AV92" s="836">
        <f t="shared" si="161"/>
        <v>946080</v>
      </c>
      <c r="AW92" s="1096"/>
      <c r="AX92" s="1096"/>
      <c r="AY92" s="1096"/>
      <c r="AZ92" s="1104"/>
      <c r="BA92" s="1103"/>
      <c r="BB92" s="959"/>
      <c r="BC92" s="839"/>
      <c r="BD92" s="839"/>
      <c r="BE92" s="839"/>
      <c r="BF92" s="839"/>
      <c r="BG92" s="839"/>
      <c r="BH92" s="839"/>
    </row>
    <row r="93" spans="1:61" s="183" customFormat="1" ht="18.75" customHeight="1" x14ac:dyDescent="0.2">
      <c r="A93" s="1041"/>
      <c r="B93" s="1041"/>
      <c r="C93" s="1042"/>
      <c r="D93" s="737" t="s">
        <v>359</v>
      </c>
      <c r="E93" s="659" t="s">
        <v>185</v>
      </c>
      <c r="F93" s="199">
        <v>1</v>
      </c>
      <c r="G93" s="199">
        <v>71700</v>
      </c>
      <c r="H93" s="658">
        <v>1.04</v>
      </c>
      <c r="I93" s="198">
        <v>74570</v>
      </c>
      <c r="J93" s="671">
        <v>1.0403</v>
      </c>
      <c r="K93" s="200">
        <v>77580</v>
      </c>
      <c r="L93" s="673">
        <v>1.02</v>
      </c>
      <c r="M93" s="200">
        <v>79130</v>
      </c>
      <c r="N93" s="185">
        <v>949560</v>
      </c>
      <c r="O93" s="315"/>
      <c r="P93" s="311"/>
      <c r="Q93" s="199"/>
      <c r="R93" s="658"/>
      <c r="S93" s="199"/>
      <c r="T93" s="658"/>
      <c r="U93" s="200"/>
      <c r="V93" s="200"/>
      <c r="W93" s="200"/>
      <c r="X93" s="315"/>
      <c r="Y93" s="185"/>
      <c r="Z93" s="318"/>
      <c r="AA93" s="318"/>
      <c r="AB93" s="318"/>
      <c r="AC93" s="318"/>
      <c r="AD93" s="318"/>
      <c r="AE93" s="318"/>
      <c r="AF93" s="318"/>
      <c r="AG93" s="318"/>
      <c r="AH93" s="318"/>
      <c r="AI93" s="318"/>
      <c r="AJ93" s="199">
        <f t="shared" si="157"/>
        <v>1</v>
      </c>
      <c r="AK93" s="831">
        <v>949560</v>
      </c>
      <c r="AL93" s="1053"/>
      <c r="AM93" s="1052"/>
      <c r="AN93" s="1052"/>
      <c r="AO93" s="184"/>
      <c r="AP93" s="318">
        <f t="shared" si="158"/>
        <v>8016</v>
      </c>
      <c r="AQ93" s="318">
        <f t="shared" si="159"/>
        <v>744</v>
      </c>
      <c r="AR93" s="318">
        <f t="shared" si="160"/>
        <v>8760</v>
      </c>
      <c r="AS93" s="1112"/>
      <c r="AT93" s="836">
        <v>108</v>
      </c>
      <c r="AU93" s="1102"/>
      <c r="AV93" s="836">
        <f t="shared" si="161"/>
        <v>946080</v>
      </c>
      <c r="AW93" s="1096"/>
      <c r="AX93" s="1096"/>
      <c r="AY93" s="1096"/>
      <c r="AZ93" s="1104"/>
      <c r="BA93" s="1103"/>
      <c r="BB93" s="959"/>
      <c r="BC93" s="839"/>
      <c r="BD93" s="839"/>
      <c r="BE93" s="839"/>
      <c r="BF93" s="839"/>
      <c r="BG93" s="839"/>
      <c r="BH93" s="839"/>
    </row>
    <row r="94" spans="1:61" s="183" customFormat="1" ht="18.75" customHeight="1" x14ac:dyDescent="0.2">
      <c r="A94" s="1041"/>
      <c r="B94" s="1041"/>
      <c r="C94" s="1042"/>
      <c r="D94" s="737" t="s">
        <v>360</v>
      </c>
      <c r="E94" s="318"/>
      <c r="F94" s="199"/>
      <c r="G94" s="199"/>
      <c r="H94" s="658"/>
      <c r="I94" s="199"/>
      <c r="J94" s="674"/>
      <c r="K94" s="200"/>
      <c r="L94" s="673"/>
      <c r="M94" s="200"/>
      <c r="N94" s="185"/>
      <c r="O94" s="658" t="s">
        <v>198</v>
      </c>
      <c r="P94" s="311">
        <v>1</v>
      </c>
      <c r="Q94" s="199">
        <v>93700</v>
      </c>
      <c r="R94" s="658">
        <v>1.04</v>
      </c>
      <c r="S94" s="199">
        <v>97450</v>
      </c>
      <c r="T94" s="658">
        <v>1.0403</v>
      </c>
      <c r="U94" s="200">
        <v>101380</v>
      </c>
      <c r="V94" s="673">
        <v>1.02</v>
      </c>
      <c r="W94" s="200">
        <v>103410</v>
      </c>
      <c r="X94" s="315">
        <v>1.05</v>
      </c>
      <c r="Y94" s="185">
        <v>1302966</v>
      </c>
      <c r="Z94" s="318"/>
      <c r="AA94" s="318"/>
      <c r="AB94" s="318"/>
      <c r="AC94" s="318"/>
      <c r="AD94" s="318"/>
      <c r="AE94" s="318"/>
      <c r="AF94" s="318"/>
      <c r="AG94" s="318"/>
      <c r="AH94" s="318"/>
      <c r="AI94" s="318"/>
      <c r="AJ94" s="199">
        <f t="shared" si="157"/>
        <v>1</v>
      </c>
      <c r="AK94" s="831">
        <v>1302966</v>
      </c>
      <c r="AL94" s="1053"/>
      <c r="AM94" s="1052"/>
      <c r="AN94" s="1052"/>
      <c r="AO94" s="184"/>
      <c r="AP94" s="318">
        <f t="shared" si="158"/>
        <v>8016</v>
      </c>
      <c r="AQ94" s="318">
        <f t="shared" si="159"/>
        <v>744</v>
      </c>
      <c r="AR94" s="318">
        <f t="shared" si="160"/>
        <v>8760</v>
      </c>
      <c r="AS94" s="1112"/>
      <c r="AT94" s="836">
        <v>148</v>
      </c>
      <c r="AU94" s="1102"/>
      <c r="AV94" s="836">
        <f t="shared" si="161"/>
        <v>1296480</v>
      </c>
      <c r="AW94" s="1096"/>
      <c r="AX94" s="1096"/>
      <c r="AY94" s="1096"/>
      <c r="AZ94" s="1104"/>
      <c r="BA94" s="1103"/>
      <c r="BB94" s="959"/>
      <c r="BC94" s="839"/>
      <c r="BD94" s="839"/>
      <c r="BE94" s="839"/>
      <c r="BF94" s="839"/>
      <c r="BG94" s="839"/>
      <c r="BH94" s="839"/>
    </row>
    <row r="95" spans="1:61" s="183" customFormat="1" ht="18.75" customHeight="1" x14ac:dyDescent="0.2">
      <c r="A95" s="1041"/>
      <c r="B95" s="1041"/>
      <c r="C95" s="1042"/>
      <c r="D95" s="737" t="s">
        <v>361</v>
      </c>
      <c r="E95" s="318"/>
      <c r="F95" s="199"/>
      <c r="G95" s="199"/>
      <c r="H95" s="658"/>
      <c r="I95" s="199"/>
      <c r="J95" s="674"/>
      <c r="K95" s="200"/>
      <c r="L95" s="673"/>
      <c r="M95" s="200"/>
      <c r="N95" s="185"/>
      <c r="O95" s="658" t="s">
        <v>319</v>
      </c>
      <c r="P95" s="311">
        <v>1</v>
      </c>
      <c r="Q95" s="199">
        <v>77200</v>
      </c>
      <c r="R95" s="658">
        <v>1.04</v>
      </c>
      <c r="S95" s="199">
        <v>80290</v>
      </c>
      <c r="T95" s="658">
        <v>1.0403</v>
      </c>
      <c r="U95" s="711">
        <v>95430</v>
      </c>
      <c r="V95" s="673">
        <v>1.02</v>
      </c>
      <c r="W95" s="200">
        <v>97340</v>
      </c>
      <c r="X95" s="315">
        <v>1.05</v>
      </c>
      <c r="Y95" s="185">
        <v>1226484</v>
      </c>
      <c r="Z95" s="318"/>
      <c r="AA95" s="318"/>
      <c r="AB95" s="318"/>
      <c r="AC95" s="318"/>
      <c r="AD95" s="318"/>
      <c r="AE95" s="318"/>
      <c r="AF95" s="318"/>
      <c r="AG95" s="318"/>
      <c r="AH95" s="318"/>
      <c r="AI95" s="318"/>
      <c r="AJ95" s="199">
        <f t="shared" si="157"/>
        <v>1</v>
      </c>
      <c r="AK95" s="831">
        <v>1226484</v>
      </c>
      <c r="AL95" s="1053"/>
      <c r="AM95" s="1052"/>
      <c r="AN95" s="1052"/>
      <c r="AO95" s="184"/>
      <c r="AP95" s="318">
        <f t="shared" si="158"/>
        <v>8016</v>
      </c>
      <c r="AQ95" s="318">
        <f t="shared" si="159"/>
        <v>744</v>
      </c>
      <c r="AR95" s="318">
        <f t="shared" si="160"/>
        <v>8760</v>
      </c>
      <c r="AS95" s="1112"/>
      <c r="AT95" s="836">
        <v>140</v>
      </c>
      <c r="AU95" s="1102"/>
      <c r="AV95" s="836">
        <f t="shared" si="161"/>
        <v>1226400</v>
      </c>
      <c r="AW95" s="1096"/>
      <c r="AX95" s="1096"/>
      <c r="AY95" s="1096"/>
      <c r="AZ95" s="1104"/>
      <c r="BA95" s="1103"/>
      <c r="BB95" s="959"/>
      <c r="BC95" s="839"/>
      <c r="BD95" s="839"/>
      <c r="BE95" s="839"/>
      <c r="BF95" s="839"/>
      <c r="BG95" s="839"/>
      <c r="BH95" s="839"/>
    </row>
    <row r="96" spans="1:61" s="183" customFormat="1" ht="18.75" customHeight="1" x14ac:dyDescent="0.2">
      <c r="A96" s="1065">
        <v>25</v>
      </c>
      <c r="B96" s="1065">
        <v>6</v>
      </c>
      <c r="C96" s="1073" t="s">
        <v>176</v>
      </c>
      <c r="D96" s="737" t="s">
        <v>363</v>
      </c>
      <c r="E96" s="659" t="s">
        <v>185</v>
      </c>
      <c r="F96" s="311">
        <v>0.5</v>
      </c>
      <c r="G96" s="199">
        <v>71700</v>
      </c>
      <c r="H96" s="658">
        <v>1.04</v>
      </c>
      <c r="I96" s="198">
        <v>74570</v>
      </c>
      <c r="J96" s="671">
        <v>1.0403</v>
      </c>
      <c r="K96" s="200">
        <v>77580</v>
      </c>
      <c r="L96" s="673">
        <v>1.02</v>
      </c>
      <c r="M96" s="200">
        <v>79130</v>
      </c>
      <c r="N96" s="185">
        <v>474780</v>
      </c>
      <c r="O96" s="315"/>
      <c r="P96" s="311"/>
      <c r="Q96" s="199"/>
      <c r="R96" s="658"/>
      <c r="S96" s="199"/>
      <c r="T96" s="658"/>
      <c r="U96" s="200"/>
      <c r="V96" s="200"/>
      <c r="W96" s="200"/>
      <c r="X96" s="315"/>
      <c r="Y96" s="185"/>
      <c r="Z96" s="318"/>
      <c r="AA96" s="318"/>
      <c r="AB96" s="318"/>
      <c r="AC96" s="318"/>
      <c r="AD96" s="318"/>
      <c r="AE96" s="318"/>
      <c r="AF96" s="318"/>
      <c r="AG96" s="318"/>
      <c r="AH96" s="318"/>
      <c r="AI96" s="318"/>
      <c r="AJ96" s="731">
        <f t="shared" si="157"/>
        <v>0.5</v>
      </c>
      <c r="AK96" s="831">
        <v>474780</v>
      </c>
      <c r="AL96" s="1053">
        <f>AK96+AK97+AK98+AK99+AK100+AK101</f>
        <v>5600292</v>
      </c>
      <c r="AM96" s="1052">
        <f>AL96/12*11</f>
        <v>5133601</v>
      </c>
      <c r="AN96" s="1052">
        <f>AL96/12</f>
        <v>466691</v>
      </c>
      <c r="AO96" s="184"/>
      <c r="AP96" s="874">
        <f>12*(365-31)*1</f>
        <v>4008</v>
      </c>
      <c r="AQ96" s="874">
        <f>12*31</f>
        <v>372</v>
      </c>
      <c r="AR96" s="874">
        <f t="shared" si="160"/>
        <v>4380</v>
      </c>
      <c r="AS96" s="1112">
        <f>AR96+AR97+AR98+AR99+AR100+AR101</f>
        <v>43800</v>
      </c>
      <c r="AT96" s="836">
        <v>108</v>
      </c>
      <c r="AU96" s="1102">
        <v>128</v>
      </c>
      <c r="AV96" s="836">
        <f t="shared" si="161"/>
        <v>473040</v>
      </c>
      <c r="AW96" s="1096">
        <f>AS96*AU96</f>
        <v>5606400</v>
      </c>
      <c r="AX96" s="1096">
        <f>AU96*(AP96+AP97+AP98+AP99+AP100+AP101)</f>
        <v>5130240</v>
      </c>
      <c r="AY96" s="1096">
        <f>AW96-AX96</f>
        <v>476160</v>
      </c>
      <c r="AZ96" s="1104">
        <f>AW96-AX96-AY96</f>
        <v>0</v>
      </c>
      <c r="BA96" s="1103">
        <f>AW96-AL96</f>
        <v>6108</v>
      </c>
      <c r="BB96" s="959">
        <v>6</v>
      </c>
      <c r="BC96" s="617">
        <f>AS96*AU96</f>
        <v>5606400</v>
      </c>
      <c r="BD96" s="617">
        <f>(AP96+AP97+AP98+AP99+AP100+AP101)*AU96</f>
        <v>5130240</v>
      </c>
      <c r="BE96" s="617">
        <f t="shared" ref="BE96" si="166">BC96-BD96</f>
        <v>476160</v>
      </c>
      <c r="BF96" s="839"/>
      <c r="BG96" s="838">
        <f t="shared" ref="BG96" si="167">BC96-AW96</f>
        <v>0</v>
      </c>
      <c r="BH96" s="838">
        <f t="shared" ref="BH96" si="168">BD96-AX96</f>
        <v>0</v>
      </c>
      <c r="BI96" s="838">
        <f t="shared" ref="BI96" si="169">BE96-AY96</f>
        <v>0</v>
      </c>
    </row>
    <row r="97" spans="1:61" s="183" customFormat="1" ht="18.75" customHeight="1" x14ac:dyDescent="0.2">
      <c r="A97" s="1067"/>
      <c r="B97" s="1067"/>
      <c r="C97" s="1077"/>
      <c r="D97" s="737" t="s">
        <v>362</v>
      </c>
      <c r="E97" s="659" t="s">
        <v>185</v>
      </c>
      <c r="F97" s="199">
        <v>1</v>
      </c>
      <c r="G97" s="199">
        <v>71700</v>
      </c>
      <c r="H97" s="658">
        <v>1.04</v>
      </c>
      <c r="I97" s="198">
        <v>74570</v>
      </c>
      <c r="J97" s="671">
        <v>1.0403</v>
      </c>
      <c r="K97" s="200">
        <v>77580</v>
      </c>
      <c r="L97" s="673">
        <v>1.02</v>
      </c>
      <c r="M97" s="200">
        <v>79130</v>
      </c>
      <c r="N97" s="185">
        <v>949560</v>
      </c>
      <c r="O97" s="315"/>
      <c r="P97" s="311"/>
      <c r="Q97" s="199"/>
      <c r="R97" s="658"/>
      <c r="S97" s="199"/>
      <c r="T97" s="658"/>
      <c r="U97" s="200"/>
      <c r="V97" s="200"/>
      <c r="W97" s="200"/>
      <c r="X97" s="315"/>
      <c r="Y97" s="185"/>
      <c r="Z97" s="318"/>
      <c r="AA97" s="318"/>
      <c r="AB97" s="318"/>
      <c r="AC97" s="318"/>
      <c r="AD97" s="318"/>
      <c r="AE97" s="318"/>
      <c r="AF97" s="318"/>
      <c r="AG97" s="318"/>
      <c r="AH97" s="318"/>
      <c r="AI97" s="318"/>
      <c r="AJ97" s="199">
        <f t="shared" si="157"/>
        <v>1</v>
      </c>
      <c r="AK97" s="831">
        <v>949560</v>
      </c>
      <c r="AL97" s="1053"/>
      <c r="AM97" s="1052"/>
      <c r="AN97" s="1052"/>
      <c r="AO97" s="184"/>
      <c r="AP97" s="318">
        <f t="shared" ref="AP97:AP100" si="170">24*(365-31)*1</f>
        <v>8016</v>
      </c>
      <c r="AQ97" s="318">
        <f t="shared" ref="AQ97:AQ100" si="171">24*31</f>
        <v>744</v>
      </c>
      <c r="AR97" s="318">
        <f t="shared" ref="AR97:AR101" si="172">SUM(AP97:AQ97)</f>
        <v>8760</v>
      </c>
      <c r="AS97" s="1112"/>
      <c r="AT97" s="836">
        <v>108</v>
      </c>
      <c r="AU97" s="1102"/>
      <c r="AV97" s="836">
        <f t="shared" si="161"/>
        <v>946080</v>
      </c>
      <c r="AW97" s="1096"/>
      <c r="AX97" s="1096"/>
      <c r="AY97" s="1096"/>
      <c r="AZ97" s="1104"/>
      <c r="BA97" s="1103"/>
      <c r="BB97" s="959"/>
      <c r="BC97" s="839"/>
      <c r="BD97" s="839"/>
      <c r="BE97" s="839"/>
      <c r="BF97" s="839"/>
      <c r="BG97" s="839"/>
      <c r="BH97" s="839"/>
    </row>
    <row r="98" spans="1:61" s="183" customFormat="1" ht="18.75" customHeight="1" x14ac:dyDescent="0.2">
      <c r="A98" s="1067"/>
      <c r="B98" s="1067"/>
      <c r="C98" s="1077"/>
      <c r="D98" s="737" t="s">
        <v>429</v>
      </c>
      <c r="E98" s="659" t="s">
        <v>185</v>
      </c>
      <c r="F98" s="199">
        <v>1</v>
      </c>
      <c r="G98" s="199"/>
      <c r="H98" s="658"/>
      <c r="I98" s="198"/>
      <c r="J98" s="671"/>
      <c r="K98" s="200"/>
      <c r="L98" s="673"/>
      <c r="M98" s="200">
        <v>79130</v>
      </c>
      <c r="N98" s="185">
        <v>949560</v>
      </c>
      <c r="O98" s="315"/>
      <c r="P98" s="311"/>
      <c r="Q98" s="199"/>
      <c r="R98" s="658"/>
      <c r="S98" s="199"/>
      <c r="T98" s="658"/>
      <c r="U98" s="200"/>
      <c r="V98" s="200"/>
      <c r="W98" s="200"/>
      <c r="X98" s="315"/>
      <c r="Y98" s="185"/>
      <c r="Z98" s="318"/>
      <c r="AA98" s="318"/>
      <c r="AB98" s="318"/>
      <c r="AC98" s="318"/>
      <c r="AD98" s="318"/>
      <c r="AE98" s="318"/>
      <c r="AF98" s="318"/>
      <c r="AG98" s="318"/>
      <c r="AH98" s="318"/>
      <c r="AI98" s="318"/>
      <c r="AJ98" s="199">
        <f t="shared" si="157"/>
        <v>1</v>
      </c>
      <c r="AK98" s="831">
        <v>949560</v>
      </c>
      <c r="AL98" s="1053"/>
      <c r="AM98" s="1052"/>
      <c r="AN98" s="1052"/>
      <c r="AO98" s="184"/>
      <c r="AP98" s="318">
        <f t="shared" si="170"/>
        <v>8016</v>
      </c>
      <c r="AQ98" s="318">
        <f t="shared" si="171"/>
        <v>744</v>
      </c>
      <c r="AR98" s="318">
        <f t="shared" si="172"/>
        <v>8760</v>
      </c>
      <c r="AS98" s="1112"/>
      <c r="AT98" s="836">
        <v>108</v>
      </c>
      <c r="AU98" s="1102"/>
      <c r="AV98" s="836">
        <f t="shared" si="161"/>
        <v>946080</v>
      </c>
      <c r="AW98" s="1096"/>
      <c r="AX98" s="1096"/>
      <c r="AY98" s="1096"/>
      <c r="AZ98" s="1104"/>
      <c r="BA98" s="1103"/>
      <c r="BB98" s="959"/>
      <c r="BC98" s="839"/>
      <c r="BD98" s="839"/>
      <c r="BE98" s="839"/>
      <c r="BF98" s="839"/>
      <c r="BG98" s="839"/>
      <c r="BH98" s="839"/>
    </row>
    <row r="99" spans="1:61" s="183" customFormat="1" ht="18.75" customHeight="1" x14ac:dyDescent="0.2">
      <c r="A99" s="1067"/>
      <c r="B99" s="1067"/>
      <c r="C99" s="1077"/>
      <c r="D99" s="737" t="s">
        <v>363</v>
      </c>
      <c r="E99" s="318"/>
      <c r="F99" s="199"/>
      <c r="G99" s="199"/>
      <c r="H99" s="659"/>
      <c r="I99" s="199"/>
      <c r="J99" s="674"/>
      <c r="K99" s="200"/>
      <c r="L99" s="673"/>
      <c r="M99" s="200"/>
      <c r="N99" s="185"/>
      <c r="O99" s="658" t="s">
        <v>198</v>
      </c>
      <c r="P99" s="311">
        <v>1</v>
      </c>
      <c r="Q99" s="199">
        <v>93700</v>
      </c>
      <c r="R99" s="658">
        <v>1.04</v>
      </c>
      <c r="S99" s="199">
        <v>97450</v>
      </c>
      <c r="T99" s="658">
        <v>1.0403</v>
      </c>
      <c r="U99" s="200">
        <v>101380</v>
      </c>
      <c r="V99" s="673">
        <v>1.02</v>
      </c>
      <c r="W99" s="200">
        <v>103410</v>
      </c>
      <c r="X99" s="315">
        <v>1.1000000000000001</v>
      </c>
      <c r="Y99" s="185">
        <v>1365012.0000000002</v>
      </c>
      <c r="Z99" s="318"/>
      <c r="AA99" s="318"/>
      <c r="AB99" s="318"/>
      <c r="AC99" s="318"/>
      <c r="AD99" s="318"/>
      <c r="AE99" s="318"/>
      <c r="AF99" s="318"/>
      <c r="AG99" s="318"/>
      <c r="AH99" s="318"/>
      <c r="AI99" s="318"/>
      <c r="AJ99" s="199">
        <f t="shared" si="157"/>
        <v>1</v>
      </c>
      <c r="AK99" s="831">
        <v>1365012.0000000002</v>
      </c>
      <c r="AL99" s="1053"/>
      <c r="AM99" s="1052"/>
      <c r="AN99" s="1052"/>
      <c r="AO99" s="184"/>
      <c r="AP99" s="318">
        <f t="shared" si="170"/>
        <v>8016</v>
      </c>
      <c r="AQ99" s="318">
        <f t="shared" si="171"/>
        <v>744</v>
      </c>
      <c r="AR99" s="318">
        <f t="shared" si="172"/>
        <v>8760</v>
      </c>
      <c r="AS99" s="1112"/>
      <c r="AT99" s="836">
        <v>155</v>
      </c>
      <c r="AU99" s="1102"/>
      <c r="AV99" s="836">
        <f t="shared" si="161"/>
        <v>1357800</v>
      </c>
      <c r="AW99" s="1096"/>
      <c r="AX99" s="1096"/>
      <c r="AY99" s="1096"/>
      <c r="AZ99" s="1104"/>
      <c r="BA99" s="1103"/>
      <c r="BB99" s="959"/>
      <c r="BC99" s="839"/>
      <c r="BD99" s="839"/>
      <c r="BE99" s="839"/>
      <c r="BF99" s="839"/>
      <c r="BG99" s="839"/>
      <c r="BH99" s="839"/>
    </row>
    <row r="100" spans="1:61" s="183" customFormat="1" ht="18.75" customHeight="1" x14ac:dyDescent="0.2">
      <c r="A100" s="1067"/>
      <c r="B100" s="1067"/>
      <c r="C100" s="1077"/>
      <c r="D100" s="737" t="s">
        <v>363</v>
      </c>
      <c r="E100" s="318"/>
      <c r="F100" s="199"/>
      <c r="G100" s="199"/>
      <c r="H100" s="659"/>
      <c r="I100" s="199"/>
      <c r="J100" s="674"/>
      <c r="K100" s="200"/>
      <c r="L100" s="673"/>
      <c r="M100" s="200"/>
      <c r="N100" s="185"/>
      <c r="O100" s="658" t="s">
        <v>198</v>
      </c>
      <c r="P100" s="311">
        <v>1</v>
      </c>
      <c r="Q100" s="199">
        <v>93700</v>
      </c>
      <c r="R100" s="658">
        <v>1.04</v>
      </c>
      <c r="S100" s="199">
        <v>97450</v>
      </c>
      <c r="T100" s="658">
        <v>1.0403</v>
      </c>
      <c r="U100" s="200">
        <v>101380</v>
      </c>
      <c r="V100" s="673">
        <v>1.02</v>
      </c>
      <c r="W100" s="200">
        <v>103410</v>
      </c>
      <c r="X100" s="315">
        <v>1</v>
      </c>
      <c r="Y100" s="185">
        <v>1240920</v>
      </c>
      <c r="Z100" s="318"/>
      <c r="AA100" s="318"/>
      <c r="AB100" s="318"/>
      <c r="AC100" s="318"/>
      <c r="AD100" s="318"/>
      <c r="AE100" s="318"/>
      <c r="AF100" s="318"/>
      <c r="AG100" s="318"/>
      <c r="AH100" s="318"/>
      <c r="AI100" s="318"/>
      <c r="AJ100" s="199">
        <f t="shared" si="157"/>
        <v>1</v>
      </c>
      <c r="AK100" s="831">
        <v>1240920</v>
      </c>
      <c r="AL100" s="1053"/>
      <c r="AM100" s="1052"/>
      <c r="AN100" s="1052"/>
      <c r="AO100" s="184"/>
      <c r="AP100" s="318">
        <f t="shared" si="170"/>
        <v>8016</v>
      </c>
      <c r="AQ100" s="318">
        <f t="shared" si="171"/>
        <v>744</v>
      </c>
      <c r="AR100" s="318">
        <f t="shared" si="172"/>
        <v>8760</v>
      </c>
      <c r="AS100" s="1112"/>
      <c r="AT100" s="836">
        <v>141</v>
      </c>
      <c r="AU100" s="1102"/>
      <c r="AV100" s="836">
        <f t="shared" si="161"/>
        <v>1235160</v>
      </c>
      <c r="AW100" s="1096"/>
      <c r="AX100" s="1096"/>
      <c r="AY100" s="1096"/>
      <c r="AZ100" s="1104"/>
      <c r="BA100" s="1103"/>
      <c r="BB100" s="959"/>
      <c r="BC100" s="839"/>
      <c r="BD100" s="839"/>
      <c r="BE100" s="839"/>
      <c r="BF100" s="839"/>
      <c r="BG100" s="839"/>
      <c r="BH100" s="839"/>
    </row>
    <row r="101" spans="1:61" s="183" customFormat="1" ht="18.75" customHeight="1" x14ac:dyDescent="0.2">
      <c r="A101" s="1066"/>
      <c r="B101" s="1066"/>
      <c r="C101" s="1074"/>
      <c r="D101" s="737" t="s">
        <v>363</v>
      </c>
      <c r="E101" s="318"/>
      <c r="F101" s="199"/>
      <c r="G101" s="199"/>
      <c r="H101" s="659"/>
      <c r="I101" s="199"/>
      <c r="J101" s="674"/>
      <c r="K101" s="200"/>
      <c r="L101" s="673"/>
      <c r="M101" s="200"/>
      <c r="N101" s="185"/>
      <c r="O101" s="658" t="s">
        <v>198</v>
      </c>
      <c r="P101" s="311">
        <v>0.5</v>
      </c>
      <c r="Q101" s="199"/>
      <c r="R101" s="658"/>
      <c r="S101" s="199"/>
      <c r="T101" s="658"/>
      <c r="U101" s="200"/>
      <c r="V101" s="673"/>
      <c r="W101" s="200">
        <v>103410</v>
      </c>
      <c r="X101" s="315">
        <v>1</v>
      </c>
      <c r="Y101" s="185">
        <v>620460</v>
      </c>
      <c r="Z101" s="318"/>
      <c r="AA101" s="318"/>
      <c r="AB101" s="318"/>
      <c r="AC101" s="318"/>
      <c r="AD101" s="318"/>
      <c r="AE101" s="318"/>
      <c r="AF101" s="318"/>
      <c r="AG101" s="318"/>
      <c r="AH101" s="318"/>
      <c r="AI101" s="318"/>
      <c r="AJ101" s="731">
        <f t="shared" si="157"/>
        <v>0.5</v>
      </c>
      <c r="AK101" s="831">
        <v>620460</v>
      </c>
      <c r="AL101" s="1053"/>
      <c r="AM101" s="1052"/>
      <c r="AN101" s="1052"/>
      <c r="AO101" s="184"/>
      <c r="AP101" s="874">
        <f>12*(365-31)*1</f>
        <v>4008</v>
      </c>
      <c r="AQ101" s="874">
        <f>12*31</f>
        <v>372</v>
      </c>
      <c r="AR101" s="874">
        <f t="shared" si="172"/>
        <v>4380</v>
      </c>
      <c r="AS101" s="1112"/>
      <c r="AT101" s="836">
        <v>141</v>
      </c>
      <c r="AU101" s="1102"/>
      <c r="AV101" s="836">
        <f t="shared" si="161"/>
        <v>617580</v>
      </c>
      <c r="AW101" s="1096"/>
      <c r="AX101" s="1096"/>
      <c r="AY101" s="1096"/>
      <c r="AZ101" s="1104"/>
      <c r="BA101" s="1103"/>
      <c r="BB101" s="959"/>
      <c r="BC101" s="839"/>
      <c r="BD101" s="839"/>
      <c r="BE101" s="839"/>
      <c r="BF101" s="839"/>
      <c r="BG101" s="839"/>
      <c r="BH101" s="839"/>
    </row>
    <row r="102" spans="1:61" s="183" customFormat="1" ht="18.75" customHeight="1" x14ac:dyDescent="0.2">
      <c r="A102" s="1041">
        <v>26</v>
      </c>
      <c r="B102" s="1041">
        <v>7</v>
      </c>
      <c r="C102" s="1042" t="s">
        <v>337</v>
      </c>
      <c r="D102" s="737" t="s">
        <v>338</v>
      </c>
      <c r="E102" s="318"/>
      <c r="F102" s="199"/>
      <c r="G102" s="199"/>
      <c r="H102" s="658"/>
      <c r="I102" s="199"/>
      <c r="J102" s="674"/>
      <c r="K102" s="200"/>
      <c r="L102" s="673"/>
      <c r="M102" s="200"/>
      <c r="N102" s="185"/>
      <c r="O102" s="658" t="s">
        <v>198</v>
      </c>
      <c r="P102" s="311">
        <v>1</v>
      </c>
      <c r="Q102" s="199">
        <v>88200</v>
      </c>
      <c r="R102" s="658">
        <v>1.04</v>
      </c>
      <c r="S102" s="199">
        <v>91730</v>
      </c>
      <c r="T102" s="658">
        <v>1.0403</v>
      </c>
      <c r="U102" s="711">
        <v>101380</v>
      </c>
      <c r="V102" s="673">
        <v>1.02</v>
      </c>
      <c r="W102" s="200">
        <v>103410</v>
      </c>
      <c r="X102" s="315">
        <v>1.1000000000000001</v>
      </c>
      <c r="Y102" s="185">
        <v>1365012.0000000002</v>
      </c>
      <c r="Z102" s="318"/>
      <c r="AA102" s="318"/>
      <c r="AB102" s="318"/>
      <c r="AC102" s="318"/>
      <c r="AD102" s="318"/>
      <c r="AE102" s="318"/>
      <c r="AF102" s="318"/>
      <c r="AG102" s="318"/>
      <c r="AH102" s="318"/>
      <c r="AI102" s="318"/>
      <c r="AJ102" s="199">
        <f t="shared" si="157"/>
        <v>1</v>
      </c>
      <c r="AK102" s="831">
        <v>1365012.0000000002</v>
      </c>
      <c r="AL102" s="1053">
        <f>AK102+AK103+AK104+AK105+AK106</f>
        <v>4651992</v>
      </c>
      <c r="AM102" s="1052">
        <f>AL102/12*11</f>
        <v>4264326</v>
      </c>
      <c r="AN102" s="1052">
        <f>AL102/12</f>
        <v>387666</v>
      </c>
      <c r="AO102" s="184"/>
      <c r="AP102" s="318">
        <f t="shared" ref="AP102" si="173">24*(365-31)*1</f>
        <v>8016</v>
      </c>
      <c r="AQ102" s="318">
        <f t="shared" ref="AQ102" si="174">24*31</f>
        <v>744</v>
      </c>
      <c r="AR102" s="318">
        <f t="shared" ref="AR102:AR103" si="175">SUM(AP102:AQ102)</f>
        <v>8760</v>
      </c>
      <c r="AS102" s="1112">
        <f>AR102+AR103+AR104+AR105+AR106</f>
        <v>39420</v>
      </c>
      <c r="AT102" s="836">
        <v>155</v>
      </c>
      <c r="AU102" s="1102">
        <v>118</v>
      </c>
      <c r="AV102" s="836">
        <f t="shared" si="161"/>
        <v>1357800</v>
      </c>
      <c r="AW102" s="1096">
        <f>AS102*AU102</f>
        <v>4651560</v>
      </c>
      <c r="AX102" s="1096">
        <f>AU102*(AP102+AP103+AP104+AP105+AP106)</f>
        <v>4256496</v>
      </c>
      <c r="AY102" s="1096">
        <f>AW102-AX102</f>
        <v>395064</v>
      </c>
      <c r="AZ102" s="1052">
        <f>AW102-AX102-AY102</f>
        <v>0</v>
      </c>
      <c r="BA102" s="1105">
        <f>AW102-AL102</f>
        <v>-432</v>
      </c>
      <c r="BB102" s="959">
        <v>5</v>
      </c>
      <c r="BC102" s="617">
        <f>AS102*AU102</f>
        <v>4651560</v>
      </c>
      <c r="BD102" s="617">
        <f>(AP102+AP103+AP104+AP105+AP106)*AU102</f>
        <v>4256496</v>
      </c>
      <c r="BE102" s="617">
        <f t="shared" ref="BE102" si="176">BC102-BD102</f>
        <v>395064</v>
      </c>
      <c r="BF102" s="839"/>
      <c r="BG102" s="838">
        <f t="shared" ref="BG102" si="177">BC102-AW102</f>
        <v>0</v>
      </c>
      <c r="BH102" s="838">
        <f t="shared" ref="BH102" si="178">BD102-AX102</f>
        <v>0</v>
      </c>
      <c r="BI102" s="838">
        <f t="shared" ref="BI102" si="179">BE102-AY102</f>
        <v>0</v>
      </c>
    </row>
    <row r="103" spans="1:61" s="183" customFormat="1" ht="18.75" customHeight="1" x14ac:dyDescent="0.2">
      <c r="A103" s="1041"/>
      <c r="B103" s="1041"/>
      <c r="C103" s="1042"/>
      <c r="D103" s="737" t="s">
        <v>433</v>
      </c>
      <c r="E103" s="318"/>
      <c r="F103" s="199"/>
      <c r="G103" s="199"/>
      <c r="H103" s="658"/>
      <c r="I103" s="199"/>
      <c r="J103" s="674"/>
      <c r="K103" s="200"/>
      <c r="L103" s="673"/>
      <c r="M103" s="200"/>
      <c r="N103" s="185"/>
      <c r="O103" s="658"/>
      <c r="P103" s="311"/>
      <c r="Q103" s="199"/>
      <c r="R103" s="658"/>
      <c r="S103" s="199"/>
      <c r="T103" s="658"/>
      <c r="U103" s="711"/>
      <c r="V103" s="673"/>
      <c r="W103" s="200"/>
      <c r="X103" s="315"/>
      <c r="Y103" s="185"/>
      <c r="Z103" s="682" t="s">
        <v>211</v>
      </c>
      <c r="AA103" s="735">
        <v>0.5</v>
      </c>
      <c r="AB103" s="199">
        <v>66200</v>
      </c>
      <c r="AC103" s="673">
        <v>1.04</v>
      </c>
      <c r="AD103" s="199">
        <v>68850</v>
      </c>
      <c r="AE103" s="674">
        <v>1.0403</v>
      </c>
      <c r="AF103" s="200">
        <v>71620</v>
      </c>
      <c r="AG103" s="673">
        <v>1.02</v>
      </c>
      <c r="AH103" s="200">
        <v>73050</v>
      </c>
      <c r="AI103" s="185">
        <v>438300</v>
      </c>
      <c r="AJ103" s="731">
        <f t="shared" si="157"/>
        <v>0.5</v>
      </c>
      <c r="AK103" s="831">
        <v>438300</v>
      </c>
      <c r="AL103" s="1053"/>
      <c r="AM103" s="1052"/>
      <c r="AN103" s="1052"/>
      <c r="AO103" s="184"/>
      <c r="AP103" s="874">
        <f>12*(365-31)*1</f>
        <v>4008</v>
      </c>
      <c r="AQ103" s="874">
        <f>12*31</f>
        <v>372</v>
      </c>
      <c r="AR103" s="874">
        <f t="shared" si="175"/>
        <v>4380</v>
      </c>
      <c r="AS103" s="1112"/>
      <c r="AT103" s="836">
        <v>100</v>
      </c>
      <c r="AU103" s="1102"/>
      <c r="AV103" s="836">
        <f t="shared" si="161"/>
        <v>438000</v>
      </c>
      <c r="AW103" s="1096"/>
      <c r="AX103" s="1096"/>
      <c r="AY103" s="1096"/>
      <c r="AZ103" s="1052"/>
      <c r="BA103" s="1105"/>
      <c r="BB103" s="959"/>
      <c r="BC103" s="839"/>
      <c r="BD103" s="839"/>
      <c r="BE103" s="839"/>
      <c r="BF103" s="839"/>
      <c r="BG103" s="839"/>
      <c r="BH103" s="839"/>
    </row>
    <row r="104" spans="1:61" s="183" customFormat="1" ht="18.75" customHeight="1" x14ac:dyDescent="0.2">
      <c r="A104" s="1041"/>
      <c r="B104" s="1041"/>
      <c r="C104" s="1042"/>
      <c r="D104" s="737" t="s">
        <v>434</v>
      </c>
      <c r="E104" s="318" t="s">
        <v>185</v>
      </c>
      <c r="F104" s="199">
        <v>1</v>
      </c>
      <c r="G104" s="199"/>
      <c r="H104" s="658"/>
      <c r="I104" s="199"/>
      <c r="J104" s="674"/>
      <c r="K104" s="200"/>
      <c r="L104" s="673"/>
      <c r="M104" s="200">
        <v>79130</v>
      </c>
      <c r="N104" s="185">
        <v>949560</v>
      </c>
      <c r="O104" s="658"/>
      <c r="P104" s="311"/>
      <c r="Q104" s="199"/>
      <c r="R104" s="658"/>
      <c r="S104" s="199"/>
      <c r="T104" s="658"/>
      <c r="U104" s="711"/>
      <c r="V104" s="673"/>
      <c r="W104" s="200"/>
      <c r="X104" s="315"/>
      <c r="Y104" s="185"/>
      <c r="Z104" s="682"/>
      <c r="AA104" s="735"/>
      <c r="AB104" s="199"/>
      <c r="AC104" s="673"/>
      <c r="AD104" s="199"/>
      <c r="AE104" s="674"/>
      <c r="AF104" s="200"/>
      <c r="AG104" s="673"/>
      <c r="AH104" s="200"/>
      <c r="AI104" s="185"/>
      <c r="AJ104" s="199">
        <f t="shared" si="157"/>
        <v>1</v>
      </c>
      <c r="AK104" s="831">
        <v>949560</v>
      </c>
      <c r="AL104" s="1053"/>
      <c r="AM104" s="1052"/>
      <c r="AN104" s="1052"/>
      <c r="AO104" s="184"/>
      <c r="AP104" s="318">
        <f t="shared" ref="AP104:AP120" si="180">24*(365-31)*1</f>
        <v>8016</v>
      </c>
      <c r="AQ104" s="318">
        <f t="shared" ref="AQ104:AQ120" si="181">24*31</f>
        <v>744</v>
      </c>
      <c r="AR104" s="318">
        <f t="shared" ref="AR104:AR120" si="182">SUM(AP104:AQ104)</f>
        <v>8760</v>
      </c>
      <c r="AS104" s="1112"/>
      <c r="AT104" s="836">
        <v>108</v>
      </c>
      <c r="AU104" s="1102"/>
      <c r="AV104" s="836">
        <f t="shared" si="161"/>
        <v>946080</v>
      </c>
      <c r="AW104" s="1096"/>
      <c r="AX104" s="1096"/>
      <c r="AY104" s="1096"/>
      <c r="AZ104" s="1052"/>
      <c r="BA104" s="1105"/>
      <c r="BB104" s="959"/>
      <c r="BC104" s="839"/>
      <c r="BD104" s="839"/>
      <c r="BE104" s="839"/>
      <c r="BF104" s="839"/>
      <c r="BG104" s="839"/>
      <c r="BH104" s="839"/>
    </row>
    <row r="105" spans="1:61" s="183" customFormat="1" ht="18.75" customHeight="1" x14ac:dyDescent="0.2">
      <c r="A105" s="1041"/>
      <c r="B105" s="1041"/>
      <c r="C105" s="1042"/>
      <c r="D105" s="737" t="s">
        <v>339</v>
      </c>
      <c r="E105" s="659" t="s">
        <v>185</v>
      </c>
      <c r="F105" s="199">
        <v>1</v>
      </c>
      <c r="G105" s="199">
        <v>71700</v>
      </c>
      <c r="H105" s="658">
        <v>1.04</v>
      </c>
      <c r="I105" s="198">
        <v>74570</v>
      </c>
      <c r="J105" s="671">
        <v>1.0403</v>
      </c>
      <c r="K105" s="200">
        <v>77580</v>
      </c>
      <c r="L105" s="673">
        <v>1.02</v>
      </c>
      <c r="M105" s="200">
        <v>79130</v>
      </c>
      <c r="N105" s="185">
        <v>949560</v>
      </c>
      <c r="O105" s="315"/>
      <c r="P105" s="311"/>
      <c r="Q105" s="199"/>
      <c r="R105" s="658"/>
      <c r="S105" s="199"/>
      <c r="T105" s="658"/>
      <c r="U105" s="200"/>
      <c r="V105" s="200"/>
      <c r="W105" s="200"/>
      <c r="X105" s="315"/>
      <c r="Y105" s="185"/>
      <c r="Z105" s="318"/>
      <c r="AA105" s="318"/>
      <c r="AB105" s="318"/>
      <c r="AC105" s="318"/>
      <c r="AD105" s="318"/>
      <c r="AE105" s="318"/>
      <c r="AF105" s="318"/>
      <c r="AG105" s="318"/>
      <c r="AH105" s="318"/>
      <c r="AI105" s="318"/>
      <c r="AJ105" s="199">
        <f t="shared" si="157"/>
        <v>1</v>
      </c>
      <c r="AK105" s="831">
        <v>949560</v>
      </c>
      <c r="AL105" s="1053"/>
      <c r="AM105" s="1052"/>
      <c r="AN105" s="1052"/>
      <c r="AO105" s="184"/>
      <c r="AP105" s="318">
        <f t="shared" si="180"/>
        <v>8016</v>
      </c>
      <c r="AQ105" s="318">
        <f t="shared" si="181"/>
        <v>744</v>
      </c>
      <c r="AR105" s="318">
        <f t="shared" si="182"/>
        <v>8760</v>
      </c>
      <c r="AS105" s="1112"/>
      <c r="AT105" s="836">
        <v>108</v>
      </c>
      <c r="AU105" s="1102"/>
      <c r="AV105" s="836">
        <f t="shared" si="161"/>
        <v>946080</v>
      </c>
      <c r="AW105" s="1096"/>
      <c r="AX105" s="1096"/>
      <c r="AY105" s="1096"/>
      <c r="AZ105" s="1052"/>
      <c r="BA105" s="1105"/>
      <c r="BB105" s="959"/>
      <c r="BC105" s="839"/>
      <c r="BD105" s="839"/>
      <c r="BE105" s="839"/>
      <c r="BF105" s="839"/>
      <c r="BG105" s="839"/>
      <c r="BH105" s="839"/>
    </row>
    <row r="106" spans="1:61" s="183" customFormat="1" ht="18.75" customHeight="1" x14ac:dyDescent="0.2">
      <c r="A106" s="1041"/>
      <c r="B106" s="1041"/>
      <c r="C106" s="1042"/>
      <c r="D106" s="737" t="s">
        <v>432</v>
      </c>
      <c r="E106" s="659" t="s">
        <v>185</v>
      </c>
      <c r="F106" s="199">
        <v>1</v>
      </c>
      <c r="G106" s="199">
        <v>71700</v>
      </c>
      <c r="H106" s="658">
        <v>1.04</v>
      </c>
      <c r="I106" s="198">
        <v>74570</v>
      </c>
      <c r="J106" s="671">
        <v>1.0403</v>
      </c>
      <c r="K106" s="200">
        <v>77580</v>
      </c>
      <c r="L106" s="673">
        <v>1.02</v>
      </c>
      <c r="M106" s="200">
        <v>79130</v>
      </c>
      <c r="N106" s="185">
        <v>949560</v>
      </c>
      <c r="O106" s="315"/>
      <c r="P106" s="311"/>
      <c r="Q106" s="199"/>
      <c r="R106" s="658"/>
      <c r="S106" s="199"/>
      <c r="T106" s="658"/>
      <c r="U106" s="200"/>
      <c r="V106" s="200"/>
      <c r="W106" s="200"/>
      <c r="X106" s="315"/>
      <c r="Y106" s="185"/>
      <c r="Z106" s="318"/>
      <c r="AA106" s="318"/>
      <c r="AB106" s="318"/>
      <c r="AC106" s="318"/>
      <c r="AD106" s="318"/>
      <c r="AE106" s="318"/>
      <c r="AF106" s="318"/>
      <c r="AG106" s="318"/>
      <c r="AH106" s="318"/>
      <c r="AI106" s="318"/>
      <c r="AJ106" s="199">
        <f t="shared" si="157"/>
        <v>1</v>
      </c>
      <c r="AK106" s="831">
        <v>949560</v>
      </c>
      <c r="AL106" s="1053"/>
      <c r="AM106" s="1052"/>
      <c r="AN106" s="1052"/>
      <c r="AO106" s="184"/>
      <c r="AP106" s="318">
        <f t="shared" si="180"/>
        <v>8016</v>
      </c>
      <c r="AQ106" s="318">
        <f t="shared" si="181"/>
        <v>744</v>
      </c>
      <c r="AR106" s="318">
        <f t="shared" si="182"/>
        <v>8760</v>
      </c>
      <c r="AS106" s="1112"/>
      <c r="AT106" s="836">
        <v>108</v>
      </c>
      <c r="AU106" s="1102"/>
      <c r="AV106" s="836">
        <f t="shared" si="161"/>
        <v>946080</v>
      </c>
      <c r="AW106" s="1096"/>
      <c r="AX106" s="1096"/>
      <c r="AY106" s="1096"/>
      <c r="AZ106" s="1052"/>
      <c r="BA106" s="1105"/>
      <c r="BB106" s="959"/>
      <c r="BC106" s="839"/>
      <c r="BD106" s="839"/>
      <c r="BE106" s="839"/>
      <c r="BF106" s="839"/>
      <c r="BG106" s="839"/>
      <c r="BH106" s="839"/>
    </row>
    <row r="107" spans="1:61" s="183" customFormat="1" ht="18.75" customHeight="1" x14ac:dyDescent="0.2">
      <c r="A107" s="1065">
        <v>27</v>
      </c>
      <c r="B107" s="1065">
        <v>8</v>
      </c>
      <c r="C107" s="1073" t="s">
        <v>42</v>
      </c>
      <c r="D107" s="737" t="s">
        <v>326</v>
      </c>
      <c r="E107" s="659" t="s">
        <v>186</v>
      </c>
      <c r="F107" s="199">
        <v>1</v>
      </c>
      <c r="G107" s="199"/>
      <c r="H107" s="659"/>
      <c r="I107" s="199"/>
      <c r="J107" s="674"/>
      <c r="K107" s="200">
        <v>71620</v>
      </c>
      <c r="L107" s="673"/>
      <c r="M107" s="200">
        <v>73050</v>
      </c>
      <c r="N107" s="185">
        <v>876600</v>
      </c>
      <c r="O107" s="658"/>
      <c r="P107" s="311"/>
      <c r="Q107" s="199"/>
      <c r="R107" s="658"/>
      <c r="S107" s="199"/>
      <c r="T107" s="658"/>
      <c r="U107" s="200"/>
      <c r="V107" s="200"/>
      <c r="W107" s="200"/>
      <c r="X107" s="315"/>
      <c r="Y107" s="185"/>
      <c r="Z107" s="318"/>
      <c r="AA107" s="318"/>
      <c r="AB107" s="318"/>
      <c r="AC107" s="318"/>
      <c r="AD107" s="318"/>
      <c r="AE107" s="318"/>
      <c r="AF107" s="318"/>
      <c r="AG107" s="318"/>
      <c r="AH107" s="318"/>
      <c r="AI107" s="318"/>
      <c r="AJ107" s="199">
        <f t="shared" si="157"/>
        <v>1</v>
      </c>
      <c r="AK107" s="831">
        <v>876600</v>
      </c>
      <c r="AL107" s="1053">
        <f>AK107+AK108+AK109</f>
        <v>3256608</v>
      </c>
      <c r="AM107" s="1052">
        <f>AL107/12*11</f>
        <v>2985224</v>
      </c>
      <c r="AN107" s="1052">
        <f>AL107/12</f>
        <v>271384</v>
      </c>
      <c r="AO107" s="184"/>
      <c r="AP107" s="318">
        <f t="shared" si="180"/>
        <v>8016</v>
      </c>
      <c r="AQ107" s="318">
        <f t="shared" si="181"/>
        <v>744</v>
      </c>
      <c r="AR107" s="318">
        <f t="shared" si="182"/>
        <v>8760</v>
      </c>
      <c r="AS107" s="1112">
        <f>AR107+AR108+AR109</f>
        <v>26280</v>
      </c>
      <c r="AT107" s="846">
        <v>100</v>
      </c>
      <c r="AU107" s="1102">
        <v>124</v>
      </c>
      <c r="AV107" s="836">
        <f t="shared" si="161"/>
        <v>876000</v>
      </c>
      <c r="AW107" s="1096">
        <f>AU107*AS107</f>
        <v>3258720</v>
      </c>
      <c r="AX107" s="1096">
        <f>AU107*(AP107+AP108+AP109)</f>
        <v>2981952</v>
      </c>
      <c r="AY107" s="1096">
        <f>AW107-AX107</f>
        <v>276768</v>
      </c>
      <c r="AZ107" s="1097">
        <f>AW107-AX107-AY107</f>
        <v>0</v>
      </c>
      <c r="BA107" s="1103">
        <f>AW107-AL107</f>
        <v>2112</v>
      </c>
      <c r="BB107" s="959">
        <v>3</v>
      </c>
      <c r="BC107" s="617">
        <f>AS107*AU107</f>
        <v>3258720</v>
      </c>
      <c r="BD107" s="617">
        <f>(AP107+AP108+AP109)*AU107</f>
        <v>2981952</v>
      </c>
      <c r="BE107" s="617">
        <f t="shared" ref="BE107" si="183">BC107-BD107</f>
        <v>276768</v>
      </c>
      <c r="BF107" s="838"/>
      <c r="BG107" s="838">
        <f t="shared" ref="BG107" si="184">BC107-AW107</f>
        <v>0</v>
      </c>
      <c r="BH107" s="838">
        <f t="shared" ref="BH107" si="185">BD107-AX107</f>
        <v>0</v>
      </c>
      <c r="BI107" s="838">
        <f t="shared" ref="BI107" si="186">BE107-AY107</f>
        <v>0</v>
      </c>
    </row>
    <row r="108" spans="1:61" s="183" customFormat="1" ht="18.75" customHeight="1" x14ac:dyDescent="0.2">
      <c r="A108" s="1067"/>
      <c r="B108" s="1067"/>
      <c r="C108" s="1077"/>
      <c r="D108" s="737" t="s">
        <v>196</v>
      </c>
      <c r="E108" s="318"/>
      <c r="F108" s="199"/>
      <c r="G108" s="199"/>
      <c r="H108" s="659"/>
      <c r="I108" s="199"/>
      <c r="J108" s="674"/>
      <c r="K108" s="200"/>
      <c r="L108" s="673"/>
      <c r="M108" s="200"/>
      <c r="N108" s="185"/>
      <c r="O108" s="658" t="s">
        <v>319</v>
      </c>
      <c r="P108" s="311">
        <v>1</v>
      </c>
      <c r="Q108" s="199">
        <v>88200</v>
      </c>
      <c r="R108" s="658">
        <v>1.04</v>
      </c>
      <c r="S108" s="199">
        <v>91730</v>
      </c>
      <c r="T108" s="658">
        <v>1.0403</v>
      </c>
      <c r="U108" s="200">
        <v>95430</v>
      </c>
      <c r="V108" s="673">
        <v>1.02</v>
      </c>
      <c r="W108" s="200">
        <v>97340</v>
      </c>
      <c r="X108" s="315">
        <v>1.1000000000000001</v>
      </c>
      <c r="Y108" s="185">
        <v>1284888.0000000002</v>
      </c>
      <c r="Z108" s="318"/>
      <c r="AA108" s="318"/>
      <c r="AB108" s="318"/>
      <c r="AC108" s="318"/>
      <c r="AD108" s="318"/>
      <c r="AE108" s="318"/>
      <c r="AF108" s="318"/>
      <c r="AG108" s="318"/>
      <c r="AH108" s="318"/>
      <c r="AI108" s="318"/>
      <c r="AJ108" s="199">
        <f t="shared" si="157"/>
        <v>1</v>
      </c>
      <c r="AK108" s="831">
        <v>1284888.0000000002</v>
      </c>
      <c r="AL108" s="1053"/>
      <c r="AM108" s="1052"/>
      <c r="AN108" s="1052"/>
      <c r="AO108" s="184"/>
      <c r="AP108" s="318">
        <f t="shared" si="180"/>
        <v>8016</v>
      </c>
      <c r="AQ108" s="318">
        <f t="shared" si="181"/>
        <v>744</v>
      </c>
      <c r="AR108" s="318">
        <f t="shared" si="182"/>
        <v>8760</v>
      </c>
      <c r="AS108" s="1112"/>
      <c r="AT108" s="836">
        <v>146</v>
      </c>
      <c r="AU108" s="1102"/>
      <c r="AV108" s="836">
        <f t="shared" si="161"/>
        <v>1278960</v>
      </c>
      <c r="AW108" s="1096"/>
      <c r="AX108" s="1096"/>
      <c r="AY108" s="1096"/>
      <c r="AZ108" s="1097"/>
      <c r="BA108" s="1103"/>
      <c r="BB108" s="959"/>
      <c r="BC108" s="839"/>
      <c r="BD108" s="839"/>
      <c r="BE108" s="839"/>
      <c r="BF108" s="839"/>
      <c r="BG108" s="839"/>
      <c r="BH108" s="839"/>
    </row>
    <row r="109" spans="1:61" s="183" customFormat="1" ht="18.75" customHeight="1" x14ac:dyDescent="0.2">
      <c r="A109" s="1067"/>
      <c r="B109" s="1067"/>
      <c r="C109" s="1077"/>
      <c r="D109" s="737" t="s">
        <v>325</v>
      </c>
      <c r="E109" s="318"/>
      <c r="F109" s="199"/>
      <c r="G109" s="199"/>
      <c r="H109" s="659"/>
      <c r="I109" s="199"/>
      <c r="J109" s="674"/>
      <c r="K109" s="200"/>
      <c r="L109" s="673"/>
      <c r="M109" s="200"/>
      <c r="N109" s="185"/>
      <c r="O109" s="658" t="s">
        <v>327</v>
      </c>
      <c r="P109" s="311">
        <v>1</v>
      </c>
      <c r="Q109" s="199">
        <v>88200</v>
      </c>
      <c r="R109" s="658">
        <v>1.04</v>
      </c>
      <c r="S109" s="199">
        <v>91730</v>
      </c>
      <c r="T109" s="658">
        <v>1.0403</v>
      </c>
      <c r="U109" s="711">
        <v>89470</v>
      </c>
      <c r="V109" s="673">
        <v>1.02</v>
      </c>
      <c r="W109" s="200">
        <v>91260</v>
      </c>
      <c r="X109" s="315">
        <v>1</v>
      </c>
      <c r="Y109" s="185">
        <v>1095120</v>
      </c>
      <c r="Z109" s="318"/>
      <c r="AA109" s="318"/>
      <c r="AB109" s="318"/>
      <c r="AC109" s="318"/>
      <c r="AD109" s="318"/>
      <c r="AE109" s="318"/>
      <c r="AF109" s="318"/>
      <c r="AG109" s="318"/>
      <c r="AH109" s="318"/>
      <c r="AI109" s="318"/>
      <c r="AJ109" s="199">
        <f t="shared" si="157"/>
        <v>1</v>
      </c>
      <c r="AK109" s="831">
        <v>1095120</v>
      </c>
      <c r="AL109" s="1053"/>
      <c r="AM109" s="1052"/>
      <c r="AN109" s="1052"/>
      <c r="AO109" s="184"/>
      <c r="AP109" s="318">
        <f t="shared" si="180"/>
        <v>8016</v>
      </c>
      <c r="AQ109" s="318">
        <f t="shared" si="181"/>
        <v>744</v>
      </c>
      <c r="AR109" s="318">
        <f t="shared" si="182"/>
        <v>8760</v>
      </c>
      <c r="AS109" s="1112"/>
      <c r="AT109" s="836">
        <v>125</v>
      </c>
      <c r="AU109" s="1102"/>
      <c r="AV109" s="836">
        <f t="shared" si="161"/>
        <v>1095000</v>
      </c>
      <c r="AW109" s="1096"/>
      <c r="AX109" s="1096"/>
      <c r="AY109" s="1096"/>
      <c r="AZ109" s="1097"/>
      <c r="BA109" s="1103"/>
      <c r="BB109" s="959"/>
      <c r="BC109" s="839"/>
      <c r="BD109" s="839"/>
      <c r="BE109" s="839"/>
      <c r="BF109" s="839"/>
      <c r="BG109" s="839"/>
      <c r="BH109" s="839"/>
    </row>
    <row r="110" spans="1:61" s="183" customFormat="1" ht="18.75" customHeight="1" x14ac:dyDescent="0.2">
      <c r="A110" s="1041">
        <v>28</v>
      </c>
      <c r="B110" s="1041">
        <v>9</v>
      </c>
      <c r="C110" s="1042" t="s">
        <v>32</v>
      </c>
      <c r="D110" s="737" t="s">
        <v>329</v>
      </c>
      <c r="E110" s="318"/>
      <c r="F110" s="199"/>
      <c r="G110" s="199"/>
      <c r="H110" s="658"/>
      <c r="I110" s="199"/>
      <c r="J110" s="674"/>
      <c r="K110" s="200"/>
      <c r="L110" s="673"/>
      <c r="M110" s="200"/>
      <c r="N110" s="185"/>
      <c r="O110" s="658" t="s">
        <v>319</v>
      </c>
      <c r="P110" s="311">
        <v>1</v>
      </c>
      <c r="Q110" s="199">
        <v>88200</v>
      </c>
      <c r="R110" s="658">
        <v>1.04</v>
      </c>
      <c r="S110" s="199">
        <v>91730</v>
      </c>
      <c r="T110" s="658">
        <v>1.0403</v>
      </c>
      <c r="U110" s="200">
        <v>95430</v>
      </c>
      <c r="V110" s="673">
        <v>1.02</v>
      </c>
      <c r="W110" s="200">
        <v>97340</v>
      </c>
      <c r="X110" s="315">
        <v>1.1000000000000001</v>
      </c>
      <c r="Y110" s="185">
        <v>1284888.0000000002</v>
      </c>
      <c r="Z110" s="318"/>
      <c r="AA110" s="318"/>
      <c r="AB110" s="318"/>
      <c r="AC110" s="318"/>
      <c r="AD110" s="318"/>
      <c r="AE110" s="318"/>
      <c r="AF110" s="318"/>
      <c r="AG110" s="318"/>
      <c r="AH110" s="318"/>
      <c r="AI110" s="318"/>
      <c r="AJ110" s="199">
        <f t="shared" si="157"/>
        <v>1</v>
      </c>
      <c r="AK110" s="831">
        <v>1284888.0000000002</v>
      </c>
      <c r="AL110" s="1053">
        <f>AK110+AK111+AK112</f>
        <v>3184008</v>
      </c>
      <c r="AM110" s="1052">
        <f>AL110/12*11</f>
        <v>2918674</v>
      </c>
      <c r="AN110" s="1052">
        <f>AL110/12</f>
        <v>265334</v>
      </c>
      <c r="AO110" s="184"/>
      <c r="AP110" s="318">
        <f t="shared" si="180"/>
        <v>8016</v>
      </c>
      <c r="AQ110" s="318">
        <f t="shared" si="181"/>
        <v>744</v>
      </c>
      <c r="AR110" s="318">
        <f t="shared" si="182"/>
        <v>8760</v>
      </c>
      <c r="AS110" s="1112">
        <f>AR110+AR111+AR112</f>
        <v>26280</v>
      </c>
      <c r="AT110" s="836">
        <v>146</v>
      </c>
      <c r="AU110" s="1102">
        <v>121</v>
      </c>
      <c r="AV110" s="836">
        <f t="shared" si="161"/>
        <v>1278960</v>
      </c>
      <c r="AW110" s="1096">
        <f>AU110*AS110</f>
        <v>3179880</v>
      </c>
      <c r="AX110" s="1096">
        <f>AU110*(AP110+AP111+AP112)</f>
        <v>2909808</v>
      </c>
      <c r="AY110" s="1096">
        <f>AW110-AX110</f>
        <v>270072</v>
      </c>
      <c r="AZ110" s="1097">
        <f>AW110-AX110-AY110</f>
        <v>0</v>
      </c>
      <c r="BA110" s="1103">
        <f>AW110-AL110</f>
        <v>-4128</v>
      </c>
      <c r="BB110" s="959">
        <v>3</v>
      </c>
      <c r="BC110" s="617">
        <f>AS110*AU110</f>
        <v>3179880</v>
      </c>
      <c r="BD110" s="617">
        <f>(AP110+AP111+AP112)*AU110</f>
        <v>2909808</v>
      </c>
      <c r="BE110" s="617">
        <f t="shared" ref="BE110" si="187">BC110-BD110</f>
        <v>270072</v>
      </c>
      <c r="BF110" s="838"/>
      <c r="BG110" s="838">
        <f t="shared" ref="BG110" si="188">BC110-AW110</f>
        <v>0</v>
      </c>
      <c r="BH110" s="838">
        <f t="shared" ref="BH110" si="189">BD110-AX110</f>
        <v>0</v>
      </c>
      <c r="BI110" s="838">
        <f t="shared" ref="BI110" si="190">BE110-AY110</f>
        <v>0</v>
      </c>
    </row>
    <row r="111" spans="1:61" s="183" customFormat="1" ht="18.75" customHeight="1" x14ac:dyDescent="0.2">
      <c r="A111" s="1041"/>
      <c r="B111" s="1041"/>
      <c r="C111" s="1042"/>
      <c r="D111" s="737" t="s">
        <v>329</v>
      </c>
      <c r="E111" s="659" t="s">
        <v>185</v>
      </c>
      <c r="F111" s="199">
        <v>1</v>
      </c>
      <c r="G111" s="199">
        <v>71700</v>
      </c>
      <c r="H111" s="658">
        <v>1.04</v>
      </c>
      <c r="I111" s="198">
        <v>74570</v>
      </c>
      <c r="J111" s="671">
        <v>1.0403</v>
      </c>
      <c r="K111" s="200">
        <v>77580</v>
      </c>
      <c r="L111" s="673">
        <v>1.02</v>
      </c>
      <c r="M111" s="200">
        <v>79130</v>
      </c>
      <c r="N111" s="185">
        <v>949560</v>
      </c>
      <c r="O111" s="315"/>
      <c r="P111" s="311"/>
      <c r="Q111" s="199"/>
      <c r="R111" s="658"/>
      <c r="S111" s="199"/>
      <c r="T111" s="658"/>
      <c r="U111" s="200"/>
      <c r="V111" s="200"/>
      <c r="W111" s="200"/>
      <c r="X111" s="315"/>
      <c r="Y111" s="185"/>
      <c r="Z111" s="318"/>
      <c r="AA111" s="318"/>
      <c r="AB111" s="318"/>
      <c r="AC111" s="318"/>
      <c r="AD111" s="318"/>
      <c r="AE111" s="318"/>
      <c r="AF111" s="318"/>
      <c r="AG111" s="318"/>
      <c r="AH111" s="318"/>
      <c r="AI111" s="318"/>
      <c r="AJ111" s="199">
        <f t="shared" si="157"/>
        <v>1</v>
      </c>
      <c r="AK111" s="831">
        <v>949560</v>
      </c>
      <c r="AL111" s="1053"/>
      <c r="AM111" s="1052"/>
      <c r="AN111" s="1052"/>
      <c r="AO111" s="184"/>
      <c r="AP111" s="318">
        <f t="shared" si="180"/>
        <v>8016</v>
      </c>
      <c r="AQ111" s="318">
        <f t="shared" si="181"/>
        <v>744</v>
      </c>
      <c r="AR111" s="318">
        <f t="shared" si="182"/>
        <v>8760</v>
      </c>
      <c r="AS111" s="1112"/>
      <c r="AT111" s="836">
        <v>108</v>
      </c>
      <c r="AU111" s="1102"/>
      <c r="AV111" s="836">
        <f t="shared" si="161"/>
        <v>946080</v>
      </c>
      <c r="AW111" s="1096"/>
      <c r="AX111" s="1096"/>
      <c r="AY111" s="1096"/>
      <c r="AZ111" s="1097"/>
      <c r="BA111" s="1103"/>
      <c r="BB111" s="959"/>
      <c r="BC111" s="839"/>
      <c r="BD111" s="839"/>
      <c r="BE111" s="839"/>
      <c r="BF111" s="839"/>
      <c r="BG111" s="839"/>
      <c r="BH111" s="839"/>
    </row>
    <row r="112" spans="1:61" s="183" customFormat="1" ht="18.75" customHeight="1" x14ac:dyDescent="0.2">
      <c r="A112" s="1041"/>
      <c r="B112" s="1041"/>
      <c r="C112" s="1042"/>
      <c r="D112" s="737" t="s">
        <v>267</v>
      </c>
      <c r="E112" s="659" t="s">
        <v>185</v>
      </c>
      <c r="F112" s="199">
        <v>1</v>
      </c>
      <c r="G112" s="199">
        <v>71700</v>
      </c>
      <c r="H112" s="658">
        <v>1.04</v>
      </c>
      <c r="I112" s="198">
        <v>74570</v>
      </c>
      <c r="J112" s="671">
        <v>1.0403</v>
      </c>
      <c r="K112" s="200">
        <v>77580</v>
      </c>
      <c r="L112" s="673">
        <v>1.02</v>
      </c>
      <c r="M112" s="200">
        <v>79130</v>
      </c>
      <c r="N112" s="185">
        <v>949560</v>
      </c>
      <c r="O112" s="315"/>
      <c r="P112" s="311"/>
      <c r="Q112" s="199"/>
      <c r="R112" s="658"/>
      <c r="S112" s="199"/>
      <c r="T112" s="658"/>
      <c r="U112" s="200"/>
      <c r="V112" s="200"/>
      <c r="W112" s="200"/>
      <c r="X112" s="315"/>
      <c r="Y112" s="185"/>
      <c r="Z112" s="318"/>
      <c r="AA112" s="318"/>
      <c r="AB112" s="318"/>
      <c r="AC112" s="318"/>
      <c r="AD112" s="318"/>
      <c r="AE112" s="318"/>
      <c r="AF112" s="318"/>
      <c r="AG112" s="318"/>
      <c r="AH112" s="318"/>
      <c r="AI112" s="318"/>
      <c r="AJ112" s="199">
        <f t="shared" si="157"/>
        <v>1</v>
      </c>
      <c r="AK112" s="831">
        <v>949560</v>
      </c>
      <c r="AL112" s="1053"/>
      <c r="AM112" s="1052"/>
      <c r="AN112" s="1052"/>
      <c r="AO112" s="184"/>
      <c r="AP112" s="318">
        <f t="shared" si="180"/>
        <v>8016</v>
      </c>
      <c r="AQ112" s="318">
        <f t="shared" si="181"/>
        <v>744</v>
      </c>
      <c r="AR112" s="318">
        <f t="shared" si="182"/>
        <v>8760</v>
      </c>
      <c r="AS112" s="1112"/>
      <c r="AT112" s="836">
        <v>108</v>
      </c>
      <c r="AU112" s="1102"/>
      <c r="AV112" s="836">
        <f t="shared" si="161"/>
        <v>946080</v>
      </c>
      <c r="AW112" s="1096"/>
      <c r="AX112" s="1096"/>
      <c r="AY112" s="1096"/>
      <c r="AZ112" s="1097"/>
      <c r="BA112" s="1103"/>
      <c r="BB112" s="959"/>
      <c r="BC112" s="839"/>
      <c r="BD112" s="839"/>
      <c r="BE112" s="839"/>
      <c r="BF112" s="839"/>
      <c r="BG112" s="839"/>
      <c r="BH112" s="839"/>
    </row>
    <row r="113" spans="1:61" s="196" customFormat="1" ht="18.75" customHeight="1" x14ac:dyDescent="0.2">
      <c r="A113" s="1041">
        <v>29</v>
      </c>
      <c r="B113" s="1041">
        <v>10</v>
      </c>
      <c r="C113" s="1042" t="s">
        <v>60</v>
      </c>
      <c r="D113" s="737" t="s">
        <v>59</v>
      </c>
      <c r="E113" s="318"/>
      <c r="F113" s="199"/>
      <c r="G113" s="199"/>
      <c r="H113" s="659"/>
      <c r="I113" s="199"/>
      <c r="J113" s="674"/>
      <c r="K113" s="200"/>
      <c r="L113" s="673"/>
      <c r="M113" s="200"/>
      <c r="N113" s="185"/>
      <c r="O113" s="658" t="s">
        <v>319</v>
      </c>
      <c r="P113" s="311">
        <v>1</v>
      </c>
      <c r="Q113" s="199">
        <v>88200</v>
      </c>
      <c r="R113" s="658">
        <v>1.04</v>
      </c>
      <c r="S113" s="199">
        <v>91730</v>
      </c>
      <c r="T113" s="658">
        <v>1.0403</v>
      </c>
      <c r="U113" s="200">
        <v>95430</v>
      </c>
      <c r="V113" s="673">
        <v>1.02</v>
      </c>
      <c r="W113" s="200">
        <v>97340</v>
      </c>
      <c r="X113" s="315">
        <v>1.1000000000000001</v>
      </c>
      <c r="Y113" s="185">
        <v>1284888.0000000002</v>
      </c>
      <c r="Z113" s="315"/>
      <c r="AA113" s="315"/>
      <c r="AB113" s="315"/>
      <c r="AC113" s="315"/>
      <c r="AD113" s="315"/>
      <c r="AE113" s="315"/>
      <c r="AF113" s="315"/>
      <c r="AG113" s="315"/>
      <c r="AH113" s="315"/>
      <c r="AI113" s="318"/>
      <c r="AJ113" s="199">
        <f t="shared" si="157"/>
        <v>1</v>
      </c>
      <c r="AK113" s="831">
        <v>1284888.0000000002</v>
      </c>
      <c r="AL113" s="1053">
        <f>AK113+AK114+AK115+AK116</f>
        <v>4060608</v>
      </c>
      <c r="AM113" s="1052">
        <f>AL113/12*11</f>
        <v>3722224</v>
      </c>
      <c r="AN113" s="1052">
        <f>AL113/12</f>
        <v>338384</v>
      </c>
      <c r="AO113" s="184"/>
      <c r="AP113" s="318">
        <f t="shared" si="180"/>
        <v>8016</v>
      </c>
      <c r="AQ113" s="318">
        <f t="shared" si="181"/>
        <v>744</v>
      </c>
      <c r="AR113" s="318">
        <f t="shared" si="182"/>
        <v>8760</v>
      </c>
      <c r="AS113" s="1112">
        <f>AR113+AR114+AR115+AR116</f>
        <v>35040</v>
      </c>
      <c r="AT113" s="836">
        <v>146</v>
      </c>
      <c r="AU113" s="1102">
        <v>116</v>
      </c>
      <c r="AV113" s="836">
        <f t="shared" si="161"/>
        <v>1278960</v>
      </c>
      <c r="AW113" s="1096">
        <f>AS113*AU113</f>
        <v>4064640</v>
      </c>
      <c r="AX113" s="1096">
        <f>AU113*(AP113+AP114+AP115+AP116)</f>
        <v>3719424</v>
      </c>
      <c r="AY113" s="1096">
        <f>AW113-AX113</f>
        <v>345216</v>
      </c>
      <c r="AZ113" s="1106">
        <f>AW113-AX113-AY113</f>
        <v>0</v>
      </c>
      <c r="BA113" s="1103">
        <f>AW113-AL113</f>
        <v>4032</v>
      </c>
      <c r="BB113" s="959">
        <v>4</v>
      </c>
      <c r="BC113" s="617">
        <f>AS113*AU113</f>
        <v>4064640</v>
      </c>
      <c r="BD113" s="617">
        <f>(AP113+AP114+AP115+AP116)*AU113</f>
        <v>3719424</v>
      </c>
      <c r="BE113" s="617">
        <f t="shared" ref="BE113" si="191">BC113-BD113</f>
        <v>345216</v>
      </c>
      <c r="BF113" s="838"/>
      <c r="BG113" s="838">
        <f t="shared" ref="BG113" si="192">BC113-AW113</f>
        <v>0</v>
      </c>
      <c r="BH113" s="838">
        <f t="shared" ref="BH113" si="193">BD113-AX113</f>
        <v>0</v>
      </c>
      <c r="BI113" s="838">
        <f t="shared" ref="BI113" si="194">BE113-AY113</f>
        <v>0</v>
      </c>
    </row>
    <row r="114" spans="1:61" s="196" customFormat="1" ht="18.75" customHeight="1" x14ac:dyDescent="0.2">
      <c r="A114" s="1041"/>
      <c r="B114" s="1041"/>
      <c r="C114" s="1042"/>
      <c r="D114" s="737" t="s">
        <v>333</v>
      </c>
      <c r="E114" s="318"/>
      <c r="F114" s="199"/>
      <c r="G114" s="199"/>
      <c r="H114" s="659"/>
      <c r="I114" s="199"/>
      <c r="J114" s="674"/>
      <c r="K114" s="200"/>
      <c r="L114" s="673"/>
      <c r="M114" s="200"/>
      <c r="N114" s="185"/>
      <c r="O114" s="658" t="s">
        <v>211</v>
      </c>
      <c r="P114" s="311">
        <v>1</v>
      </c>
      <c r="Q114" s="199">
        <v>66200</v>
      </c>
      <c r="R114" s="658">
        <v>1.04</v>
      </c>
      <c r="S114" s="199">
        <v>68850</v>
      </c>
      <c r="T114" s="658">
        <v>1.0403</v>
      </c>
      <c r="U114" s="200">
        <v>71620</v>
      </c>
      <c r="V114" s="673">
        <v>1.02</v>
      </c>
      <c r="W114" s="200">
        <v>73050</v>
      </c>
      <c r="X114" s="315">
        <v>1</v>
      </c>
      <c r="Y114" s="185">
        <v>876600</v>
      </c>
      <c r="Z114" s="315"/>
      <c r="AA114" s="315"/>
      <c r="AB114" s="315"/>
      <c r="AC114" s="315"/>
      <c r="AD114" s="315"/>
      <c r="AE114" s="315"/>
      <c r="AF114" s="315"/>
      <c r="AG114" s="315"/>
      <c r="AH114" s="315"/>
      <c r="AI114" s="318"/>
      <c r="AJ114" s="199">
        <f t="shared" si="157"/>
        <v>1</v>
      </c>
      <c r="AK114" s="831">
        <v>876600</v>
      </c>
      <c r="AL114" s="1053"/>
      <c r="AM114" s="1052"/>
      <c r="AN114" s="1052"/>
      <c r="AO114" s="184"/>
      <c r="AP114" s="318">
        <f t="shared" si="180"/>
        <v>8016</v>
      </c>
      <c r="AQ114" s="318">
        <f t="shared" si="181"/>
        <v>744</v>
      </c>
      <c r="AR114" s="318">
        <f t="shared" si="182"/>
        <v>8760</v>
      </c>
      <c r="AS114" s="1112"/>
      <c r="AT114" s="846">
        <v>100</v>
      </c>
      <c r="AU114" s="1102"/>
      <c r="AV114" s="836">
        <f t="shared" si="161"/>
        <v>876000</v>
      </c>
      <c r="AW114" s="1096"/>
      <c r="AX114" s="1096"/>
      <c r="AY114" s="1096"/>
      <c r="AZ114" s="1107"/>
      <c r="BA114" s="1103"/>
      <c r="BB114" s="959"/>
      <c r="BC114" s="839"/>
      <c r="BD114" s="839"/>
      <c r="BE114" s="839"/>
      <c r="BF114" s="839"/>
      <c r="BG114" s="839"/>
      <c r="BH114" s="839"/>
    </row>
    <row r="115" spans="1:61" s="196" customFormat="1" ht="18.75" customHeight="1" x14ac:dyDescent="0.2">
      <c r="A115" s="1041"/>
      <c r="B115" s="1041"/>
      <c r="C115" s="1042"/>
      <c r="D115" s="737" t="s">
        <v>57</v>
      </c>
      <c r="E115" s="659" t="s">
        <v>185</v>
      </c>
      <c r="F115" s="199">
        <v>1</v>
      </c>
      <c r="G115" s="199">
        <v>71700</v>
      </c>
      <c r="H115" s="658">
        <v>1.04</v>
      </c>
      <c r="I115" s="198">
        <v>74570</v>
      </c>
      <c r="J115" s="671">
        <v>1.0403</v>
      </c>
      <c r="K115" s="200">
        <v>77580</v>
      </c>
      <c r="L115" s="673">
        <v>1.02</v>
      </c>
      <c r="M115" s="200">
        <v>79130</v>
      </c>
      <c r="N115" s="185">
        <v>949560</v>
      </c>
      <c r="O115" s="315"/>
      <c r="P115" s="311"/>
      <c r="Q115" s="199"/>
      <c r="R115" s="658"/>
      <c r="S115" s="199"/>
      <c r="T115" s="658"/>
      <c r="U115" s="200"/>
      <c r="V115" s="200"/>
      <c r="W115" s="200"/>
      <c r="X115" s="315"/>
      <c r="Y115" s="185"/>
      <c r="Z115" s="315"/>
      <c r="AA115" s="315"/>
      <c r="AB115" s="315"/>
      <c r="AC115" s="315"/>
      <c r="AD115" s="315"/>
      <c r="AE115" s="315"/>
      <c r="AF115" s="315"/>
      <c r="AG115" s="315"/>
      <c r="AH115" s="315"/>
      <c r="AI115" s="318"/>
      <c r="AJ115" s="199">
        <f t="shared" si="157"/>
        <v>1</v>
      </c>
      <c r="AK115" s="831">
        <v>949560</v>
      </c>
      <c r="AL115" s="1053"/>
      <c r="AM115" s="1052"/>
      <c r="AN115" s="1052"/>
      <c r="AO115" s="184"/>
      <c r="AP115" s="318">
        <f t="shared" si="180"/>
        <v>8016</v>
      </c>
      <c r="AQ115" s="318">
        <f t="shared" si="181"/>
        <v>744</v>
      </c>
      <c r="AR115" s="318">
        <f t="shared" si="182"/>
        <v>8760</v>
      </c>
      <c r="AS115" s="1112"/>
      <c r="AT115" s="836">
        <v>108</v>
      </c>
      <c r="AU115" s="1102"/>
      <c r="AV115" s="836">
        <f t="shared" si="161"/>
        <v>946080</v>
      </c>
      <c r="AW115" s="1096"/>
      <c r="AX115" s="1096"/>
      <c r="AY115" s="1096"/>
      <c r="AZ115" s="1107"/>
      <c r="BA115" s="1103"/>
      <c r="BB115" s="959"/>
      <c r="BC115" s="839"/>
      <c r="BD115" s="839"/>
      <c r="BE115" s="839"/>
      <c r="BF115" s="839"/>
      <c r="BG115" s="839"/>
      <c r="BH115" s="839"/>
    </row>
    <row r="116" spans="1:61" s="196" customFormat="1" ht="18.75" customHeight="1" x14ac:dyDescent="0.2">
      <c r="A116" s="1041"/>
      <c r="B116" s="1041"/>
      <c r="C116" s="1042"/>
      <c r="D116" s="737" t="s">
        <v>56</v>
      </c>
      <c r="E116" s="659" t="s">
        <v>185</v>
      </c>
      <c r="F116" s="199">
        <v>1</v>
      </c>
      <c r="G116" s="199">
        <v>71700</v>
      </c>
      <c r="H116" s="658">
        <v>1.04</v>
      </c>
      <c r="I116" s="198">
        <v>74570</v>
      </c>
      <c r="J116" s="671">
        <v>1.0403</v>
      </c>
      <c r="K116" s="200">
        <v>77580</v>
      </c>
      <c r="L116" s="673">
        <v>1.02</v>
      </c>
      <c r="M116" s="200">
        <v>79130</v>
      </c>
      <c r="N116" s="185">
        <v>949560</v>
      </c>
      <c r="O116" s="315"/>
      <c r="P116" s="311"/>
      <c r="Q116" s="199"/>
      <c r="R116" s="658"/>
      <c r="S116" s="199"/>
      <c r="T116" s="658"/>
      <c r="U116" s="200"/>
      <c r="V116" s="200"/>
      <c r="W116" s="200"/>
      <c r="X116" s="315"/>
      <c r="Y116" s="185"/>
      <c r="Z116" s="315"/>
      <c r="AA116" s="315"/>
      <c r="AB116" s="315"/>
      <c r="AC116" s="315"/>
      <c r="AD116" s="315"/>
      <c r="AE116" s="315"/>
      <c r="AF116" s="315"/>
      <c r="AG116" s="315"/>
      <c r="AH116" s="315"/>
      <c r="AI116" s="318"/>
      <c r="AJ116" s="199">
        <f t="shared" si="157"/>
        <v>1</v>
      </c>
      <c r="AK116" s="831">
        <v>949560</v>
      </c>
      <c r="AL116" s="1053"/>
      <c r="AM116" s="1052"/>
      <c r="AN116" s="1052"/>
      <c r="AO116" s="184"/>
      <c r="AP116" s="318">
        <f t="shared" si="180"/>
        <v>8016</v>
      </c>
      <c r="AQ116" s="318">
        <f t="shared" si="181"/>
        <v>744</v>
      </c>
      <c r="AR116" s="318">
        <f t="shared" si="182"/>
        <v>8760</v>
      </c>
      <c r="AS116" s="1112"/>
      <c r="AT116" s="836">
        <v>108</v>
      </c>
      <c r="AU116" s="1102"/>
      <c r="AV116" s="836">
        <f t="shared" si="161"/>
        <v>946080</v>
      </c>
      <c r="AW116" s="1096"/>
      <c r="AX116" s="1096"/>
      <c r="AY116" s="1096"/>
      <c r="AZ116" s="1108"/>
      <c r="BA116" s="1103"/>
      <c r="BB116" s="959"/>
      <c r="BC116" s="839"/>
      <c r="BD116" s="839"/>
      <c r="BE116" s="839"/>
      <c r="BF116" s="839"/>
      <c r="BG116" s="839"/>
      <c r="BH116" s="839"/>
    </row>
    <row r="117" spans="1:61" s="196" customFormat="1" ht="18.75" customHeight="1" x14ac:dyDescent="0.2">
      <c r="A117" s="1041">
        <v>30</v>
      </c>
      <c r="B117" s="1041">
        <v>11</v>
      </c>
      <c r="C117" s="1042" t="s">
        <v>69</v>
      </c>
      <c r="D117" s="737" t="s">
        <v>68</v>
      </c>
      <c r="E117" s="318"/>
      <c r="F117" s="199"/>
      <c r="G117" s="199"/>
      <c r="H117" s="659"/>
      <c r="I117" s="199"/>
      <c r="J117" s="674"/>
      <c r="K117" s="200"/>
      <c r="L117" s="673"/>
      <c r="M117" s="200"/>
      <c r="N117" s="185"/>
      <c r="O117" s="658" t="s">
        <v>328</v>
      </c>
      <c r="P117" s="311">
        <v>1</v>
      </c>
      <c r="Q117" s="199">
        <v>77200</v>
      </c>
      <c r="R117" s="658">
        <v>1.04</v>
      </c>
      <c r="S117" s="199">
        <v>80290</v>
      </c>
      <c r="T117" s="658">
        <v>1.0403</v>
      </c>
      <c r="U117" s="200">
        <v>83530</v>
      </c>
      <c r="V117" s="673">
        <v>1.02</v>
      </c>
      <c r="W117" s="200">
        <v>85200</v>
      </c>
      <c r="X117" s="315">
        <v>1</v>
      </c>
      <c r="Y117" s="185">
        <v>1022400</v>
      </c>
      <c r="Z117" s="315"/>
      <c r="AA117" s="315"/>
      <c r="AB117" s="315"/>
      <c r="AC117" s="315"/>
      <c r="AD117" s="315"/>
      <c r="AE117" s="315"/>
      <c r="AF117" s="315"/>
      <c r="AG117" s="315"/>
      <c r="AH117" s="315"/>
      <c r="AI117" s="318"/>
      <c r="AJ117" s="199">
        <f t="shared" si="157"/>
        <v>1</v>
      </c>
      <c r="AK117" s="831">
        <v>1022400</v>
      </c>
      <c r="AL117" s="1053">
        <f>AK117+AK118</f>
        <v>2227032</v>
      </c>
      <c r="AM117" s="1052">
        <f>AL117/12*11</f>
        <v>2041446</v>
      </c>
      <c r="AN117" s="1052">
        <f>AL117/12</f>
        <v>185586</v>
      </c>
      <c r="AO117" s="184"/>
      <c r="AP117" s="318">
        <f t="shared" si="180"/>
        <v>8016</v>
      </c>
      <c r="AQ117" s="318">
        <f t="shared" si="181"/>
        <v>744</v>
      </c>
      <c r="AR117" s="318">
        <f t="shared" si="182"/>
        <v>8760</v>
      </c>
      <c r="AS117" s="1112">
        <f>AR117+AR118</f>
        <v>17520</v>
      </c>
      <c r="AT117" s="836">
        <v>116</v>
      </c>
      <c r="AU117" s="1102">
        <v>126</v>
      </c>
      <c r="AV117" s="836">
        <f t="shared" si="161"/>
        <v>1016160</v>
      </c>
      <c r="AW117" s="1096">
        <f t="shared" ref="AW117" si="195">AU117*AS117</f>
        <v>2207520</v>
      </c>
      <c r="AX117" s="1096">
        <f t="shared" ref="AX117" si="196">AU117*(AP117+AP118)</f>
        <v>2020032</v>
      </c>
      <c r="AY117" s="1096">
        <f t="shared" ref="AY117" si="197">AW117-AX117</f>
        <v>187488</v>
      </c>
      <c r="AZ117" s="1097">
        <f>AW117-AX117-AY117</f>
        <v>0</v>
      </c>
      <c r="BA117" s="1103">
        <f>AW117-AL117</f>
        <v>-19512</v>
      </c>
      <c r="BB117" s="959">
        <v>2</v>
      </c>
      <c r="BC117" s="617">
        <f>AS117*AU117</f>
        <v>2207520</v>
      </c>
      <c r="BD117" s="617">
        <f>(AP117+AP118)*AU117</f>
        <v>2020032</v>
      </c>
      <c r="BE117" s="617">
        <f>BC117-BD117</f>
        <v>187488</v>
      </c>
      <c r="BF117" s="839"/>
      <c r="BG117" s="838">
        <f t="shared" ref="BG117" si="198">BC117-AW117</f>
        <v>0</v>
      </c>
      <c r="BH117" s="838">
        <f t="shared" ref="BH117" si="199">BD117-AX117</f>
        <v>0</v>
      </c>
      <c r="BI117" s="838">
        <f t="shared" ref="BI117" si="200">BE117-AY117</f>
        <v>0</v>
      </c>
    </row>
    <row r="118" spans="1:61" s="196" customFormat="1" ht="18.75" customHeight="1" x14ac:dyDescent="0.2">
      <c r="A118" s="1041"/>
      <c r="B118" s="1041"/>
      <c r="C118" s="1042"/>
      <c r="D118" s="737" t="s">
        <v>67</v>
      </c>
      <c r="E118" s="318"/>
      <c r="F118" s="199"/>
      <c r="G118" s="199"/>
      <c r="H118" s="659"/>
      <c r="I118" s="199"/>
      <c r="J118" s="674"/>
      <c r="K118" s="200"/>
      <c r="L118" s="673"/>
      <c r="M118" s="200"/>
      <c r="N118" s="185"/>
      <c r="O118" s="658" t="s">
        <v>327</v>
      </c>
      <c r="P118" s="311">
        <v>1</v>
      </c>
      <c r="Q118" s="199">
        <v>82700</v>
      </c>
      <c r="R118" s="658">
        <v>1.04</v>
      </c>
      <c r="S118" s="199">
        <v>86000</v>
      </c>
      <c r="T118" s="658">
        <v>1.0403</v>
      </c>
      <c r="U118" s="200">
        <v>89470</v>
      </c>
      <c r="V118" s="673">
        <v>1.02</v>
      </c>
      <c r="W118" s="200">
        <v>91260</v>
      </c>
      <c r="X118" s="315">
        <v>1.1000000000000001</v>
      </c>
      <c r="Y118" s="185">
        <v>1204632.0000000002</v>
      </c>
      <c r="Z118" s="315"/>
      <c r="AA118" s="315"/>
      <c r="AB118" s="315"/>
      <c r="AC118" s="315"/>
      <c r="AD118" s="315"/>
      <c r="AE118" s="315"/>
      <c r="AF118" s="315"/>
      <c r="AG118" s="315"/>
      <c r="AH118" s="315"/>
      <c r="AI118" s="318"/>
      <c r="AJ118" s="199">
        <f t="shared" si="157"/>
        <v>1</v>
      </c>
      <c r="AK118" s="831">
        <v>1204632.0000000002</v>
      </c>
      <c r="AL118" s="1053"/>
      <c r="AM118" s="1052"/>
      <c r="AN118" s="1052"/>
      <c r="AO118" s="184"/>
      <c r="AP118" s="318">
        <f t="shared" si="180"/>
        <v>8016</v>
      </c>
      <c r="AQ118" s="318">
        <f t="shared" si="181"/>
        <v>744</v>
      </c>
      <c r="AR118" s="318">
        <f t="shared" si="182"/>
        <v>8760</v>
      </c>
      <c r="AS118" s="1112"/>
      <c r="AT118" s="836">
        <v>137</v>
      </c>
      <c r="AU118" s="1102"/>
      <c r="AV118" s="836">
        <f t="shared" si="161"/>
        <v>1200120</v>
      </c>
      <c r="AW118" s="1096"/>
      <c r="AX118" s="1096"/>
      <c r="AY118" s="1096"/>
      <c r="AZ118" s="1097"/>
      <c r="BA118" s="1103"/>
      <c r="BB118" s="959"/>
      <c r="BC118" s="839"/>
      <c r="BD118" s="839"/>
      <c r="BE118" s="839"/>
      <c r="BF118" s="839"/>
      <c r="BG118" s="839"/>
      <c r="BH118" s="839"/>
    </row>
    <row r="119" spans="1:61" s="196" customFormat="1" ht="18.75" customHeight="1" x14ac:dyDescent="0.2">
      <c r="A119" s="1041">
        <v>31</v>
      </c>
      <c r="B119" s="1041">
        <v>12</v>
      </c>
      <c r="C119" s="1042" t="s">
        <v>75</v>
      </c>
      <c r="D119" s="738" t="s">
        <v>74</v>
      </c>
      <c r="E119" s="453"/>
      <c r="F119" s="198"/>
      <c r="G119" s="198"/>
      <c r="H119" s="657"/>
      <c r="I119" s="198"/>
      <c r="J119" s="671"/>
      <c r="K119" s="200"/>
      <c r="L119" s="673"/>
      <c r="M119" s="200"/>
      <c r="N119" s="185"/>
      <c r="O119" s="658" t="s">
        <v>327</v>
      </c>
      <c r="P119" s="311">
        <v>1</v>
      </c>
      <c r="Q119" s="199">
        <v>82700</v>
      </c>
      <c r="R119" s="658">
        <v>1.04</v>
      </c>
      <c r="S119" s="199">
        <v>86000</v>
      </c>
      <c r="T119" s="658">
        <v>1.0403</v>
      </c>
      <c r="U119" s="200">
        <v>89470</v>
      </c>
      <c r="V119" s="673">
        <v>1.02</v>
      </c>
      <c r="W119" s="200">
        <v>91260</v>
      </c>
      <c r="X119" s="315">
        <v>1.1000000000000001</v>
      </c>
      <c r="Y119" s="185">
        <v>1204632.0000000002</v>
      </c>
      <c r="Z119" s="315"/>
      <c r="AA119" s="315"/>
      <c r="AB119" s="315"/>
      <c r="AC119" s="315"/>
      <c r="AD119" s="315"/>
      <c r="AE119" s="315"/>
      <c r="AF119" s="315"/>
      <c r="AG119" s="315"/>
      <c r="AH119" s="315"/>
      <c r="AI119" s="318"/>
      <c r="AJ119" s="199">
        <f t="shared" si="157"/>
        <v>1</v>
      </c>
      <c r="AK119" s="831">
        <v>1204632.0000000002</v>
      </c>
      <c r="AL119" s="1053">
        <f>AK119+AK120</f>
        <v>2154192</v>
      </c>
      <c r="AM119" s="1052">
        <f>AL119/12*11</f>
        <v>1974676</v>
      </c>
      <c r="AN119" s="1052">
        <f>AL119/12</f>
        <v>179516</v>
      </c>
      <c r="AO119" s="184"/>
      <c r="AP119" s="318">
        <f t="shared" si="180"/>
        <v>8016</v>
      </c>
      <c r="AQ119" s="318">
        <f t="shared" si="181"/>
        <v>744</v>
      </c>
      <c r="AR119" s="318">
        <f t="shared" si="182"/>
        <v>8760</v>
      </c>
      <c r="AS119" s="1112">
        <f>AR119+AR120</f>
        <v>17520</v>
      </c>
      <c r="AT119" s="836">
        <v>137</v>
      </c>
      <c r="AU119" s="1102">
        <v>122</v>
      </c>
      <c r="AV119" s="836">
        <f t="shared" si="161"/>
        <v>1200120</v>
      </c>
      <c r="AW119" s="1096">
        <f t="shared" ref="AW119" si="201">AU119*AS119</f>
        <v>2137440</v>
      </c>
      <c r="AX119" s="1096">
        <f t="shared" ref="AX119" si="202">AU119*(AP119+AP120)</f>
        <v>1955904</v>
      </c>
      <c r="AY119" s="1096">
        <f t="shared" ref="AY119" si="203">AW119-AX119</f>
        <v>181536</v>
      </c>
      <c r="AZ119" s="1097">
        <f>AW119-AX119-AY119</f>
        <v>0</v>
      </c>
      <c r="BA119" s="1103">
        <f>AW119-AL119</f>
        <v>-16752</v>
      </c>
      <c r="BB119" s="959">
        <v>2</v>
      </c>
      <c r="BC119" s="617">
        <f>AS119*AU119</f>
        <v>2137440</v>
      </c>
      <c r="BD119" s="617">
        <f>(AP119+AP120)*AU119</f>
        <v>1955904</v>
      </c>
      <c r="BE119" s="617">
        <f>BC119-BD119</f>
        <v>181536</v>
      </c>
      <c r="BF119" s="839"/>
      <c r="BG119" s="838">
        <f t="shared" ref="BG119" si="204">BC119-AW119</f>
        <v>0</v>
      </c>
      <c r="BH119" s="838">
        <f t="shared" ref="BH119" si="205">BD119-AX119</f>
        <v>0</v>
      </c>
      <c r="BI119" s="838">
        <f t="shared" ref="BI119" si="206">BE119-AY119</f>
        <v>0</v>
      </c>
    </row>
    <row r="120" spans="1:61" s="196" customFormat="1" ht="18.75" customHeight="1" x14ac:dyDescent="0.2">
      <c r="A120" s="1041"/>
      <c r="B120" s="1041"/>
      <c r="C120" s="1042"/>
      <c r="D120" s="738" t="s">
        <v>73</v>
      </c>
      <c r="E120" s="657" t="s">
        <v>185</v>
      </c>
      <c r="F120" s="198">
        <v>1</v>
      </c>
      <c r="G120" s="198">
        <v>71700</v>
      </c>
      <c r="H120" s="658">
        <v>1.04</v>
      </c>
      <c r="I120" s="198">
        <v>74570</v>
      </c>
      <c r="J120" s="671">
        <v>1.0403</v>
      </c>
      <c r="K120" s="200">
        <v>77580</v>
      </c>
      <c r="L120" s="673">
        <v>1.02</v>
      </c>
      <c r="M120" s="200">
        <v>79130</v>
      </c>
      <c r="N120" s="185">
        <v>949560</v>
      </c>
      <c r="O120" s="315"/>
      <c r="P120" s="311"/>
      <c r="Q120" s="199"/>
      <c r="R120" s="658"/>
      <c r="S120" s="199"/>
      <c r="T120" s="658"/>
      <c r="U120" s="200"/>
      <c r="V120" s="200"/>
      <c r="W120" s="200"/>
      <c r="X120" s="315"/>
      <c r="Y120" s="185"/>
      <c r="Z120" s="315"/>
      <c r="AA120" s="315"/>
      <c r="AB120" s="315"/>
      <c r="AC120" s="315"/>
      <c r="AD120" s="315"/>
      <c r="AE120" s="315"/>
      <c r="AF120" s="315"/>
      <c r="AG120" s="315"/>
      <c r="AH120" s="315"/>
      <c r="AI120" s="318"/>
      <c r="AJ120" s="199">
        <f t="shared" si="157"/>
        <v>1</v>
      </c>
      <c r="AK120" s="831">
        <v>949560</v>
      </c>
      <c r="AL120" s="1053"/>
      <c r="AM120" s="1052"/>
      <c r="AN120" s="1052"/>
      <c r="AO120" s="184"/>
      <c r="AP120" s="318">
        <f t="shared" si="180"/>
        <v>8016</v>
      </c>
      <c r="AQ120" s="318">
        <f t="shared" si="181"/>
        <v>744</v>
      </c>
      <c r="AR120" s="318">
        <f t="shared" si="182"/>
        <v>8760</v>
      </c>
      <c r="AS120" s="1112"/>
      <c r="AT120" s="836">
        <v>108</v>
      </c>
      <c r="AU120" s="1102"/>
      <c r="AV120" s="836">
        <f t="shared" si="161"/>
        <v>946080</v>
      </c>
      <c r="AW120" s="1096"/>
      <c r="AX120" s="1096"/>
      <c r="AY120" s="1096"/>
      <c r="AZ120" s="1097"/>
      <c r="BA120" s="1103"/>
      <c r="BB120" s="959"/>
      <c r="BC120" s="617"/>
      <c r="BD120" s="617"/>
      <c r="BE120" s="617"/>
      <c r="BF120" s="839"/>
      <c r="BG120" s="838"/>
      <c r="BH120" s="838"/>
      <c r="BI120" s="838"/>
    </row>
    <row r="121" spans="1:61" s="775" customFormat="1" ht="18.75" customHeight="1" x14ac:dyDescent="0.2">
      <c r="A121" s="768"/>
      <c r="B121" s="768"/>
      <c r="C121" s="769" t="s">
        <v>1</v>
      </c>
      <c r="D121" s="770"/>
      <c r="E121" s="771"/>
      <c r="F121" s="772">
        <f>SUM(F90:F120)</f>
        <v>15.5</v>
      </c>
      <c r="G121" s="772"/>
      <c r="H121" s="772"/>
      <c r="I121" s="772"/>
      <c r="J121" s="772"/>
      <c r="K121" s="772"/>
      <c r="L121" s="772"/>
      <c r="M121" s="772"/>
      <c r="N121" s="772">
        <f>SUM(N90:N120)</f>
        <v>14645220</v>
      </c>
      <c r="O121" s="772"/>
      <c r="P121" s="772">
        <f>SUM(P90:P120)</f>
        <v>13.5</v>
      </c>
      <c r="Q121" s="772"/>
      <c r="R121" s="772"/>
      <c r="S121" s="772"/>
      <c r="T121" s="772"/>
      <c r="U121" s="772"/>
      <c r="V121" s="772"/>
      <c r="W121" s="773"/>
      <c r="X121" s="772"/>
      <c r="Y121" s="772">
        <f>SUM(Y90:Y120)</f>
        <v>16378902</v>
      </c>
      <c r="Z121" s="772"/>
      <c r="AA121" s="772">
        <f>SUM(AA90:AA120)</f>
        <v>0.5</v>
      </c>
      <c r="AB121" s="772"/>
      <c r="AC121" s="772"/>
      <c r="AD121" s="772"/>
      <c r="AE121" s="772"/>
      <c r="AF121" s="772"/>
      <c r="AG121" s="772"/>
      <c r="AH121" s="772"/>
      <c r="AI121" s="772">
        <f t="shared" ref="AI121:AS121" si="207">SUM(AI90:AI120)</f>
        <v>438300</v>
      </c>
      <c r="AJ121" s="772">
        <f t="shared" si="207"/>
        <v>29.5</v>
      </c>
      <c r="AK121" s="879">
        <f t="shared" si="207"/>
        <v>31462422</v>
      </c>
      <c r="AL121" s="813">
        <f t="shared" si="207"/>
        <v>31462422</v>
      </c>
      <c r="AM121" s="879">
        <f t="shared" si="207"/>
        <v>28840553.5</v>
      </c>
      <c r="AN121" s="879">
        <f t="shared" si="207"/>
        <v>2621868.5</v>
      </c>
      <c r="AO121" s="774"/>
      <c r="AP121" s="771">
        <f t="shared" si="207"/>
        <v>236472</v>
      </c>
      <c r="AQ121" s="771">
        <f t="shared" si="207"/>
        <v>21948</v>
      </c>
      <c r="AR121" s="771">
        <f t="shared" si="207"/>
        <v>258420</v>
      </c>
      <c r="AS121" s="928">
        <f t="shared" si="207"/>
        <v>258420</v>
      </c>
      <c r="AT121" s="822">
        <f>AV121/AR121</f>
        <v>121.30508474576271</v>
      </c>
      <c r="AU121" s="944">
        <f>AW121/AS121</f>
        <v>121.76271186440678</v>
      </c>
      <c r="AV121" s="859">
        <f t="shared" ref="AV121" si="208">SUM(AV90:AV120)</f>
        <v>31347660</v>
      </c>
      <c r="AW121" s="887">
        <f t="shared" ref="AW121" si="209">SUM(AW90:AW120)</f>
        <v>31465920</v>
      </c>
      <c r="AX121" s="887">
        <f t="shared" ref="AX121" si="210">SUM(AX90:AX120)</f>
        <v>28793472</v>
      </c>
      <c r="AY121" s="887">
        <f t="shared" ref="AY121" si="211">SUM(AY90:AY120)</f>
        <v>2672448</v>
      </c>
      <c r="AZ121" s="848"/>
      <c r="BA121" s="183"/>
      <c r="BB121" s="961"/>
      <c r="BC121" s="970">
        <f t="shared" ref="BC121:BC122" si="212">AS121*AU121</f>
        <v>31465920</v>
      </c>
      <c r="BD121" s="970">
        <f>(AP121)*AU121</f>
        <v>28793472</v>
      </c>
      <c r="BE121" s="970">
        <f t="shared" ref="BE121:BE122" si="213">BC121-BD121</f>
        <v>2672448</v>
      </c>
      <c r="BF121" s="868"/>
      <c r="BG121" s="975">
        <f t="shared" ref="BG121:BG122" si="214">BC121-AW121</f>
        <v>0</v>
      </c>
      <c r="BH121" s="975">
        <f t="shared" ref="BH121:BH122" si="215">BD121-AX121</f>
        <v>0</v>
      </c>
      <c r="BI121" s="975">
        <f t="shared" ref="BI121:BI122" si="216">BE121-AY121</f>
        <v>0</v>
      </c>
    </row>
    <row r="122" spans="1:61" s="795" customFormat="1" ht="18.75" customHeight="1" x14ac:dyDescent="0.2">
      <c r="A122" s="790"/>
      <c r="B122" s="790"/>
      <c r="C122" s="791" t="s">
        <v>0</v>
      </c>
      <c r="D122" s="792"/>
      <c r="E122" s="793"/>
      <c r="F122" s="794">
        <f>F88+F121</f>
        <v>21.5</v>
      </c>
      <c r="G122" s="794"/>
      <c r="H122" s="794"/>
      <c r="I122" s="794"/>
      <c r="J122" s="794"/>
      <c r="K122" s="794"/>
      <c r="L122" s="794"/>
      <c r="M122" s="794"/>
      <c r="N122" s="794">
        <f>N88+N121</f>
        <v>20342580</v>
      </c>
      <c r="O122" s="794"/>
      <c r="P122" s="794">
        <f>P88+P121</f>
        <v>13.5</v>
      </c>
      <c r="Q122" s="794"/>
      <c r="R122" s="794"/>
      <c r="S122" s="794"/>
      <c r="T122" s="794"/>
      <c r="U122" s="794"/>
      <c r="V122" s="794"/>
      <c r="W122" s="794"/>
      <c r="X122" s="794"/>
      <c r="Y122" s="794">
        <f>Y88+Y121</f>
        <v>16378902</v>
      </c>
      <c r="Z122" s="794"/>
      <c r="AA122" s="794">
        <f>AA88+AA113+AA121</f>
        <v>0.5</v>
      </c>
      <c r="AB122" s="794"/>
      <c r="AC122" s="794"/>
      <c r="AD122" s="794"/>
      <c r="AE122" s="794"/>
      <c r="AF122" s="794"/>
      <c r="AG122" s="794"/>
      <c r="AH122" s="794"/>
      <c r="AI122" s="794">
        <f>AI88+AI113+AI121</f>
        <v>438300</v>
      </c>
      <c r="AJ122" s="794">
        <f>AJ88+AJ121</f>
        <v>35.5</v>
      </c>
      <c r="AK122" s="882">
        <f>AK88+AK121</f>
        <v>37159782</v>
      </c>
      <c r="AL122" s="817">
        <f>AL88+AL121</f>
        <v>37159782</v>
      </c>
      <c r="AM122" s="882">
        <f>AM88+AM121</f>
        <v>34063133.5</v>
      </c>
      <c r="AN122" s="882">
        <f>AN88+AN121</f>
        <v>3096648.5</v>
      </c>
      <c r="AP122" s="793">
        <f>AP88+AP121</f>
        <v>284568</v>
      </c>
      <c r="AQ122" s="793">
        <f>AQ88+AQ121</f>
        <v>26412</v>
      </c>
      <c r="AR122" s="793">
        <f>AR88+AR121</f>
        <v>310980</v>
      </c>
      <c r="AS122" s="928">
        <f>AS88+AS121</f>
        <v>310980</v>
      </c>
      <c r="AT122" s="827">
        <f>AV122/AR122</f>
        <v>119.05633802816901</v>
      </c>
      <c r="AU122" s="944">
        <f>AW122/AS122</f>
        <v>119.43661971830986</v>
      </c>
      <c r="AV122" s="862">
        <f>AV88+AV121</f>
        <v>37024140</v>
      </c>
      <c r="AW122" s="891">
        <f>AW88+AW121</f>
        <v>37142400</v>
      </c>
      <c r="AX122" s="891">
        <f>AX88+AX121</f>
        <v>33987840</v>
      </c>
      <c r="AY122" s="891">
        <f>AY88+AY121</f>
        <v>3154560</v>
      </c>
      <c r="AZ122" s="854"/>
      <c r="BA122" s="183"/>
      <c r="BB122" s="966"/>
      <c r="BC122" s="974">
        <f t="shared" si="212"/>
        <v>37142400</v>
      </c>
      <c r="BD122" s="974">
        <f t="shared" ref="BD122" si="217">(AP122+AP123)*AU122</f>
        <v>33987840</v>
      </c>
      <c r="BE122" s="974">
        <f t="shared" si="213"/>
        <v>3154560</v>
      </c>
      <c r="BF122" s="872"/>
      <c r="BG122" s="976">
        <f t="shared" si="214"/>
        <v>0</v>
      </c>
      <c r="BH122" s="976">
        <f t="shared" si="215"/>
        <v>0</v>
      </c>
      <c r="BI122" s="976">
        <f t="shared" si="216"/>
        <v>0</v>
      </c>
    </row>
    <row r="123" spans="1:61" s="631" customFormat="1" x14ac:dyDescent="0.25">
      <c r="A123" s="163"/>
      <c r="B123" s="163"/>
      <c r="C123" s="162"/>
      <c r="D123" s="736"/>
      <c r="E123" s="451"/>
      <c r="F123" s="164"/>
      <c r="G123" s="327"/>
      <c r="H123" s="662"/>
      <c r="I123" s="327"/>
      <c r="J123" s="675"/>
      <c r="K123" s="728"/>
      <c r="L123" s="728"/>
      <c r="M123" s="728"/>
      <c r="N123" s="701"/>
      <c r="O123" s="175"/>
      <c r="P123" s="166"/>
      <c r="Q123" s="166"/>
      <c r="R123" s="166"/>
      <c r="S123" s="166"/>
      <c r="T123" s="175"/>
      <c r="U123" s="175"/>
      <c r="V123" s="175"/>
      <c r="W123" s="175"/>
      <c r="X123" s="175"/>
      <c r="Y123" s="252"/>
      <c r="Z123" s="175"/>
      <c r="AA123" s="175"/>
      <c r="AB123" s="175"/>
      <c r="AC123" s="175"/>
      <c r="AD123" s="175"/>
      <c r="AE123" s="175"/>
      <c r="AF123" s="175"/>
      <c r="AG123" s="175"/>
      <c r="AH123" s="175"/>
      <c r="AI123" s="237"/>
      <c r="AJ123" s="237"/>
      <c r="AK123" s="237"/>
      <c r="AL123" s="821"/>
      <c r="AM123" s="903"/>
      <c r="AN123" s="903"/>
      <c r="AO123" s="237"/>
      <c r="AP123" s="237"/>
      <c r="AQ123" s="237"/>
      <c r="AR123" s="237"/>
      <c r="AS123" s="933"/>
      <c r="AT123" s="500"/>
      <c r="AU123" s="950"/>
      <c r="AV123" s="500"/>
      <c r="AW123" s="821"/>
      <c r="AX123" s="821"/>
      <c r="AY123" s="821"/>
      <c r="AZ123" s="853"/>
      <c r="BA123" s="237"/>
      <c r="BB123" s="965"/>
      <c r="BC123" s="871"/>
      <c r="BD123" s="871"/>
      <c r="BE123" s="871"/>
      <c r="BF123" s="871"/>
      <c r="BG123" s="871"/>
      <c r="BH123" s="871"/>
    </row>
    <row r="124" spans="1:61" s="687" customFormat="1" ht="35.25" customHeight="1" x14ac:dyDescent="0.2">
      <c r="A124" s="808">
        <v>3</v>
      </c>
      <c r="B124" s="1093" t="s">
        <v>435</v>
      </c>
      <c r="C124" s="1094"/>
      <c r="D124" s="1095"/>
      <c r="E124" s="746"/>
      <c r="F124" s="746"/>
      <c r="G124" s="746"/>
      <c r="H124" s="678"/>
      <c r="I124" s="746"/>
      <c r="J124" s="678"/>
      <c r="K124" s="679"/>
      <c r="L124" s="678"/>
      <c r="M124" s="679"/>
      <c r="N124" s="747"/>
      <c r="O124" s="746"/>
      <c r="P124" s="746"/>
      <c r="Q124" s="746"/>
      <c r="R124" s="678"/>
      <c r="S124" s="746"/>
      <c r="T124" s="678"/>
      <c r="U124" s="679"/>
      <c r="V124" s="678"/>
      <c r="W124" s="679"/>
      <c r="X124" s="746"/>
      <c r="Y124" s="747"/>
      <c r="Z124" s="746"/>
      <c r="AA124" s="746"/>
      <c r="AB124" s="746"/>
      <c r="AC124" s="678"/>
      <c r="AD124" s="746"/>
      <c r="AE124" s="678"/>
      <c r="AF124" s="679"/>
      <c r="AG124" s="678"/>
      <c r="AH124" s="679"/>
      <c r="AI124" s="747"/>
      <c r="AJ124" s="747"/>
      <c r="AK124" s="899"/>
      <c r="AL124" s="809"/>
      <c r="AM124" s="877"/>
      <c r="AN124" s="877"/>
      <c r="AP124" s="873"/>
      <c r="AQ124" s="873"/>
      <c r="AR124" s="873"/>
      <c r="AS124" s="934"/>
      <c r="AT124" s="844"/>
      <c r="AU124" s="951"/>
      <c r="AV124" s="915"/>
      <c r="AW124" s="809"/>
      <c r="AX124" s="809"/>
      <c r="AY124" s="809"/>
      <c r="AZ124" s="851"/>
      <c r="BA124" s="894"/>
      <c r="BB124" s="958"/>
      <c r="BC124" s="867"/>
      <c r="BD124" s="867"/>
      <c r="BE124" s="867"/>
      <c r="BF124" s="867"/>
      <c r="BG124" s="867"/>
      <c r="BH124" s="867"/>
    </row>
    <row r="125" spans="1:61" s="196" customFormat="1" x14ac:dyDescent="0.2">
      <c r="B125" s="1072" t="s">
        <v>146</v>
      </c>
      <c r="C125" s="1072"/>
      <c r="D125" s="1072"/>
      <c r="E125" s="1072"/>
      <c r="F125" s="1072"/>
      <c r="G125" s="208"/>
      <c r="H125" s="656"/>
      <c r="I125" s="208"/>
      <c r="J125" s="656"/>
      <c r="K125" s="664"/>
      <c r="L125" s="664"/>
      <c r="M125" s="664"/>
      <c r="N125" s="657"/>
      <c r="O125" s="688"/>
      <c r="P125" s="179"/>
      <c r="Q125" s="179"/>
      <c r="R125" s="179"/>
      <c r="S125" s="179"/>
      <c r="T125" s="194"/>
      <c r="U125" s="194"/>
      <c r="V125" s="194"/>
      <c r="W125" s="194"/>
      <c r="X125" s="670"/>
      <c r="Y125" s="657"/>
      <c r="Z125" s="194"/>
      <c r="AA125" s="194"/>
      <c r="AB125" s="194"/>
      <c r="AC125" s="194"/>
      <c r="AD125" s="194"/>
      <c r="AE125" s="194"/>
      <c r="AF125" s="194"/>
      <c r="AG125" s="194"/>
      <c r="AH125" s="194"/>
      <c r="AI125" s="657"/>
      <c r="AJ125" s="657"/>
      <c r="AK125" s="832"/>
      <c r="AL125" s="545"/>
      <c r="AM125" s="622"/>
      <c r="AN125" s="622"/>
      <c r="AP125" s="453"/>
      <c r="AQ125" s="453"/>
      <c r="AR125" s="453"/>
      <c r="AS125" s="924"/>
      <c r="AT125" s="835"/>
      <c r="AU125" s="940"/>
      <c r="AV125" s="837"/>
      <c r="AW125" s="545"/>
      <c r="AX125" s="545"/>
      <c r="AY125" s="545"/>
      <c r="AZ125" s="850"/>
      <c r="BA125" s="183"/>
      <c r="BB125" s="959"/>
      <c r="BC125" s="839"/>
      <c r="BD125" s="839"/>
      <c r="BE125" s="839"/>
      <c r="BF125" s="839"/>
      <c r="BG125" s="839"/>
      <c r="BH125" s="839"/>
    </row>
    <row r="126" spans="1:61" s="184" customFormat="1" ht="18.75" customHeight="1" x14ac:dyDescent="0.2">
      <c r="A126" s="726">
        <v>32</v>
      </c>
      <c r="B126" s="726">
        <v>1</v>
      </c>
      <c r="C126" s="459" t="s">
        <v>405</v>
      </c>
      <c r="D126" s="737" t="s">
        <v>381</v>
      </c>
      <c r="E126" s="658" t="s">
        <v>185</v>
      </c>
      <c r="F126" s="311">
        <v>1</v>
      </c>
      <c r="G126" s="198">
        <v>71700</v>
      </c>
      <c r="H126" s="709">
        <v>1.04</v>
      </c>
      <c r="I126" s="453">
        <v>74570</v>
      </c>
      <c r="J126" s="671">
        <v>1.0403</v>
      </c>
      <c r="K126" s="200">
        <v>77580</v>
      </c>
      <c r="L126" s="673">
        <v>1.02</v>
      </c>
      <c r="M126" s="200">
        <v>79130</v>
      </c>
      <c r="N126" s="185">
        <v>949560</v>
      </c>
      <c r="O126" s="710"/>
      <c r="P126" s="311"/>
      <c r="Q126" s="311"/>
      <c r="R126" s="311"/>
      <c r="S126" s="311"/>
      <c r="T126" s="315"/>
      <c r="U126" s="315"/>
      <c r="V126" s="315"/>
      <c r="W126" s="315"/>
      <c r="X126" s="315"/>
      <c r="Y126" s="199"/>
      <c r="Z126" s="311"/>
      <c r="AA126" s="311"/>
      <c r="AB126" s="311"/>
      <c r="AC126" s="311"/>
      <c r="AD126" s="311"/>
      <c r="AE126" s="311"/>
      <c r="AF126" s="315"/>
      <c r="AG126" s="315"/>
      <c r="AH126" s="315"/>
      <c r="AI126" s="199"/>
      <c r="AJ126" s="199">
        <f t="shared" ref="AJ126:AJ138" si="218">F126+P126+AA126</f>
        <v>1</v>
      </c>
      <c r="AK126" s="831">
        <v>949560</v>
      </c>
      <c r="AL126" s="200">
        <f>AK126</f>
        <v>949560</v>
      </c>
      <c r="AM126" s="199">
        <f>AL126/12*11</f>
        <v>870430</v>
      </c>
      <c r="AN126" s="199">
        <f>AL126/12</f>
        <v>79130</v>
      </c>
      <c r="AP126" s="318">
        <f t="shared" ref="AP126:AP138" si="219">24*(365-31)*1</f>
        <v>8016</v>
      </c>
      <c r="AQ126" s="318">
        <f t="shared" ref="AQ126:AQ138" si="220">24*31</f>
        <v>744</v>
      </c>
      <c r="AR126" s="318">
        <f t="shared" ref="AR126:AR138" si="221">SUM(AP126:AQ126)</f>
        <v>8760</v>
      </c>
      <c r="AS126" s="925">
        <f t="shared" ref="AS126" si="222">AR126</f>
        <v>8760</v>
      </c>
      <c r="AT126" s="836">
        <v>108</v>
      </c>
      <c r="AU126" s="941">
        <v>108</v>
      </c>
      <c r="AV126" s="836">
        <f t="shared" ref="AV126:AV138" si="223">AT126*AR126</f>
        <v>946080</v>
      </c>
      <c r="AW126" s="885">
        <f>AV126</f>
        <v>946080</v>
      </c>
      <c r="AX126" s="885">
        <f>AU126*AP126</f>
        <v>865728</v>
      </c>
      <c r="AY126" s="885">
        <f>AW126-AX126</f>
        <v>80352</v>
      </c>
      <c r="AZ126" s="387">
        <f>AW126-AX126-AY126</f>
        <v>0</v>
      </c>
      <c r="BA126" s="596">
        <f>AW126-AL126</f>
        <v>-3480</v>
      </c>
      <c r="BB126" s="959">
        <v>1</v>
      </c>
      <c r="BC126" s="617">
        <f t="shared" ref="BC126" si="224">AS126*AU126</f>
        <v>946080</v>
      </c>
      <c r="BD126" s="617">
        <f t="shared" ref="BD126" si="225">(AP126)*AU126</f>
        <v>865728</v>
      </c>
      <c r="BE126" s="617">
        <f t="shared" ref="BE126" si="226">BC126-BD126</f>
        <v>80352</v>
      </c>
      <c r="BF126" s="838"/>
      <c r="BG126" s="838">
        <f t="shared" ref="BG126:BG127" si="227">BC126-AW126</f>
        <v>0</v>
      </c>
      <c r="BH126" s="838">
        <f t="shared" ref="BH126:BH127" si="228">BD126-AX126</f>
        <v>0</v>
      </c>
      <c r="BI126" s="838">
        <f t="shared" ref="BI126:BI127" si="229">BE126-AY126</f>
        <v>0</v>
      </c>
    </row>
    <row r="127" spans="1:61" s="184" customFormat="1" ht="18.75" customHeight="1" x14ac:dyDescent="0.2">
      <c r="A127" s="1065">
        <v>33</v>
      </c>
      <c r="B127" s="1065">
        <v>2</v>
      </c>
      <c r="C127" s="1073" t="s">
        <v>406</v>
      </c>
      <c r="D127" s="737" t="s">
        <v>382</v>
      </c>
      <c r="E127" s="658" t="s">
        <v>185</v>
      </c>
      <c r="F127" s="311">
        <v>1</v>
      </c>
      <c r="G127" s="198">
        <v>71700</v>
      </c>
      <c r="H127" s="709">
        <v>1.04</v>
      </c>
      <c r="I127" s="453">
        <v>74570</v>
      </c>
      <c r="J127" s="671">
        <v>1.0403</v>
      </c>
      <c r="K127" s="200">
        <v>77580</v>
      </c>
      <c r="L127" s="673">
        <v>1.02</v>
      </c>
      <c r="M127" s="200">
        <v>79130</v>
      </c>
      <c r="N127" s="185">
        <v>949560</v>
      </c>
      <c r="O127" s="710"/>
      <c r="P127" s="311"/>
      <c r="Q127" s="311"/>
      <c r="R127" s="311"/>
      <c r="S127" s="311"/>
      <c r="T127" s="315"/>
      <c r="U127" s="315"/>
      <c r="V127" s="315"/>
      <c r="W127" s="315"/>
      <c r="X127" s="315"/>
      <c r="Y127" s="199"/>
      <c r="Z127" s="311"/>
      <c r="AA127" s="311"/>
      <c r="AB127" s="311"/>
      <c r="AC127" s="311"/>
      <c r="AD127" s="311"/>
      <c r="AE127" s="311"/>
      <c r="AF127" s="315"/>
      <c r="AG127" s="315"/>
      <c r="AH127" s="315"/>
      <c r="AI127" s="199"/>
      <c r="AJ127" s="199">
        <f t="shared" si="218"/>
        <v>1</v>
      </c>
      <c r="AK127" s="831">
        <v>949560</v>
      </c>
      <c r="AL127" s="1053">
        <f>AK127+AK128</f>
        <v>1899120</v>
      </c>
      <c r="AM127" s="1052">
        <f>AL127/12*11</f>
        <v>1740860</v>
      </c>
      <c r="AN127" s="1052">
        <f>AL127/12</f>
        <v>158260</v>
      </c>
      <c r="AP127" s="318">
        <f t="shared" si="219"/>
        <v>8016</v>
      </c>
      <c r="AQ127" s="318">
        <f t="shared" si="220"/>
        <v>744</v>
      </c>
      <c r="AR127" s="318">
        <f t="shared" si="221"/>
        <v>8760</v>
      </c>
      <c r="AS127" s="1112">
        <f>AR127+AR128</f>
        <v>17520</v>
      </c>
      <c r="AT127" s="836">
        <v>108</v>
      </c>
      <c r="AU127" s="1102">
        <v>108</v>
      </c>
      <c r="AV127" s="836">
        <f t="shared" si="223"/>
        <v>946080</v>
      </c>
      <c r="AW127" s="1096">
        <f>AU127*AS127</f>
        <v>1892160</v>
      </c>
      <c r="AX127" s="1096">
        <f>AU127*(AP127+AP128)</f>
        <v>1731456</v>
      </c>
      <c r="AY127" s="1096">
        <f>AW127-AX127</f>
        <v>160704</v>
      </c>
      <c r="AZ127" s="1097">
        <f>AW127-AX127-AY127</f>
        <v>0</v>
      </c>
      <c r="BA127" s="1103">
        <f>AW127-AL127</f>
        <v>-6960</v>
      </c>
      <c r="BB127" s="959">
        <v>2</v>
      </c>
      <c r="BC127" s="617">
        <f>AS127*AU127</f>
        <v>1892160</v>
      </c>
      <c r="BD127" s="617">
        <f>(AP127+AP128)*AU127</f>
        <v>1731456</v>
      </c>
      <c r="BE127" s="617">
        <f>BC127-BD127</f>
        <v>160704</v>
      </c>
      <c r="BF127" s="839"/>
      <c r="BG127" s="838">
        <f t="shared" si="227"/>
        <v>0</v>
      </c>
      <c r="BH127" s="838">
        <f t="shared" si="228"/>
        <v>0</v>
      </c>
      <c r="BI127" s="838">
        <f t="shared" si="229"/>
        <v>0</v>
      </c>
    </row>
    <row r="128" spans="1:61" s="184" customFormat="1" ht="18.75" customHeight="1" x14ac:dyDescent="0.2">
      <c r="A128" s="1066"/>
      <c r="B128" s="1066"/>
      <c r="C128" s="1074"/>
      <c r="D128" s="810" t="s">
        <v>439</v>
      </c>
      <c r="E128" s="658" t="s">
        <v>185</v>
      </c>
      <c r="F128" s="311">
        <v>1</v>
      </c>
      <c r="G128" s="198">
        <v>71700</v>
      </c>
      <c r="H128" s="709">
        <v>1.04</v>
      </c>
      <c r="I128" s="453">
        <v>74570</v>
      </c>
      <c r="J128" s="671">
        <v>1.0403</v>
      </c>
      <c r="K128" s="200">
        <v>77580</v>
      </c>
      <c r="L128" s="673">
        <v>1.02</v>
      </c>
      <c r="M128" s="200">
        <v>79130</v>
      </c>
      <c r="N128" s="185">
        <v>949560</v>
      </c>
      <c r="O128" s="710"/>
      <c r="P128" s="311"/>
      <c r="Q128" s="311"/>
      <c r="R128" s="311"/>
      <c r="S128" s="311"/>
      <c r="T128" s="315"/>
      <c r="U128" s="315"/>
      <c r="V128" s="315"/>
      <c r="W128" s="315"/>
      <c r="X128" s="315"/>
      <c r="Y128" s="199"/>
      <c r="Z128" s="311"/>
      <c r="AA128" s="311"/>
      <c r="AB128" s="311"/>
      <c r="AC128" s="311"/>
      <c r="AD128" s="311"/>
      <c r="AE128" s="311"/>
      <c r="AF128" s="315"/>
      <c r="AG128" s="315"/>
      <c r="AH128" s="315"/>
      <c r="AI128" s="199"/>
      <c r="AJ128" s="199">
        <f t="shared" ref="AJ128" si="230">F128+P128+AA128</f>
        <v>1</v>
      </c>
      <c r="AK128" s="831">
        <v>949560</v>
      </c>
      <c r="AL128" s="1053"/>
      <c r="AM128" s="1052"/>
      <c r="AN128" s="1052"/>
      <c r="AP128" s="318">
        <f t="shared" si="219"/>
        <v>8016</v>
      </c>
      <c r="AQ128" s="318">
        <f t="shared" si="220"/>
        <v>744</v>
      </c>
      <c r="AR128" s="318">
        <f t="shared" si="221"/>
        <v>8760</v>
      </c>
      <c r="AS128" s="1112"/>
      <c r="AT128" s="836">
        <v>108</v>
      </c>
      <c r="AU128" s="1102"/>
      <c r="AV128" s="836">
        <f t="shared" si="223"/>
        <v>946080</v>
      </c>
      <c r="AW128" s="1096"/>
      <c r="AX128" s="1096"/>
      <c r="AY128" s="1096"/>
      <c r="AZ128" s="1097"/>
      <c r="BA128" s="1103"/>
      <c r="BB128" s="959"/>
      <c r="BC128" s="838"/>
      <c r="BD128" s="838"/>
      <c r="BE128" s="838"/>
      <c r="BF128" s="838"/>
      <c r="BG128" s="838"/>
      <c r="BH128" s="838"/>
    </row>
    <row r="129" spans="1:62" s="184" customFormat="1" ht="18.75" customHeight="1" x14ac:dyDescent="0.2">
      <c r="A129" s="748">
        <v>34</v>
      </c>
      <c r="B129" s="748">
        <v>3</v>
      </c>
      <c r="C129" s="459" t="s">
        <v>411</v>
      </c>
      <c r="D129" s="737" t="s">
        <v>414</v>
      </c>
      <c r="E129" s="658" t="s">
        <v>185</v>
      </c>
      <c r="F129" s="311">
        <v>1</v>
      </c>
      <c r="G129" s="198"/>
      <c r="H129" s="709"/>
      <c r="I129" s="453"/>
      <c r="J129" s="671"/>
      <c r="K129" s="200">
        <v>77580</v>
      </c>
      <c r="L129" s="673"/>
      <c r="M129" s="200">
        <v>79130</v>
      </c>
      <c r="N129" s="185">
        <v>949560</v>
      </c>
      <c r="O129" s="710"/>
      <c r="P129" s="311"/>
      <c r="Q129" s="311"/>
      <c r="R129" s="311"/>
      <c r="S129" s="311"/>
      <c r="T129" s="315"/>
      <c r="U129" s="315"/>
      <c r="V129" s="315"/>
      <c r="W129" s="315"/>
      <c r="X129" s="315"/>
      <c r="Y129" s="199"/>
      <c r="Z129" s="311"/>
      <c r="AA129" s="311"/>
      <c r="AB129" s="311"/>
      <c r="AC129" s="311"/>
      <c r="AD129" s="311"/>
      <c r="AE129" s="311"/>
      <c r="AF129" s="315"/>
      <c r="AG129" s="315"/>
      <c r="AH129" s="315"/>
      <c r="AI129" s="199"/>
      <c r="AJ129" s="199">
        <f t="shared" si="218"/>
        <v>1</v>
      </c>
      <c r="AK129" s="831">
        <v>949560</v>
      </c>
      <c r="AL129" s="200">
        <f>AK129</f>
        <v>949560</v>
      </c>
      <c r="AM129" s="199">
        <f>AL129/12*11</f>
        <v>870430</v>
      </c>
      <c r="AN129" s="199">
        <f>AL129/12</f>
        <v>79130</v>
      </c>
      <c r="AP129" s="318">
        <f t="shared" si="219"/>
        <v>8016</v>
      </c>
      <c r="AQ129" s="318">
        <f t="shared" si="220"/>
        <v>744</v>
      </c>
      <c r="AR129" s="318">
        <f t="shared" si="221"/>
        <v>8760</v>
      </c>
      <c r="AS129" s="925">
        <f t="shared" ref="AS129" si="231">AR129</f>
        <v>8760</v>
      </c>
      <c r="AT129" s="836">
        <v>108</v>
      </c>
      <c r="AU129" s="941">
        <v>108</v>
      </c>
      <c r="AV129" s="836">
        <f t="shared" si="223"/>
        <v>946080</v>
      </c>
      <c r="AW129" s="885">
        <f>AV129</f>
        <v>946080</v>
      </c>
      <c r="AX129" s="885">
        <f>AU129*AP129</f>
        <v>865728</v>
      </c>
      <c r="AY129" s="885">
        <f>AW129-AX129</f>
        <v>80352</v>
      </c>
      <c r="AZ129" s="387">
        <f>AW129-AX129-AY129</f>
        <v>0</v>
      </c>
      <c r="BA129" s="596">
        <f>AW129-AL129</f>
        <v>-3480</v>
      </c>
      <c r="BB129" s="959">
        <v>1</v>
      </c>
      <c r="BC129" s="617">
        <f t="shared" ref="BC129" si="232">AS129*AU129</f>
        <v>946080</v>
      </c>
      <c r="BD129" s="617">
        <f t="shared" ref="BD129" si="233">(AP129)*AU129</f>
        <v>865728</v>
      </c>
      <c r="BE129" s="617">
        <f t="shared" ref="BE129:BE130" si="234">BC129-BD129</f>
        <v>80352</v>
      </c>
      <c r="BF129" s="838"/>
      <c r="BG129" s="838">
        <f t="shared" ref="BG129:BG130" si="235">BC129-AW129</f>
        <v>0</v>
      </c>
      <c r="BH129" s="838">
        <f t="shared" ref="BH129:BH130" si="236">BD129-AX129</f>
        <v>0</v>
      </c>
      <c r="BI129" s="838">
        <f t="shared" ref="BI129:BI130" si="237">BE129-AY129</f>
        <v>0</v>
      </c>
    </row>
    <row r="130" spans="1:62" s="184" customFormat="1" ht="18.75" customHeight="1" x14ac:dyDescent="0.2">
      <c r="A130" s="1045">
        <v>35</v>
      </c>
      <c r="B130" s="1045">
        <v>4</v>
      </c>
      <c r="C130" s="1046" t="s">
        <v>399</v>
      </c>
      <c r="D130" s="737" t="s">
        <v>117</v>
      </c>
      <c r="E130" s="658" t="s">
        <v>186</v>
      </c>
      <c r="F130" s="311">
        <v>1</v>
      </c>
      <c r="G130" s="198">
        <v>66200</v>
      </c>
      <c r="H130" s="709">
        <v>1.04</v>
      </c>
      <c r="I130" s="453">
        <v>68850</v>
      </c>
      <c r="J130" s="671">
        <v>1.0403</v>
      </c>
      <c r="K130" s="200">
        <v>71620</v>
      </c>
      <c r="L130" s="673">
        <v>1.02</v>
      </c>
      <c r="M130" s="200">
        <v>73050</v>
      </c>
      <c r="N130" s="185">
        <v>876600</v>
      </c>
      <c r="O130" s="710"/>
      <c r="P130" s="311"/>
      <c r="Q130" s="311"/>
      <c r="R130" s="311"/>
      <c r="S130" s="311"/>
      <c r="T130" s="315"/>
      <c r="U130" s="315"/>
      <c r="V130" s="315"/>
      <c r="W130" s="315"/>
      <c r="X130" s="315"/>
      <c r="Y130" s="199"/>
      <c r="Z130" s="311"/>
      <c r="AA130" s="311"/>
      <c r="AB130" s="311"/>
      <c r="AC130" s="311"/>
      <c r="AD130" s="311"/>
      <c r="AE130" s="311"/>
      <c r="AF130" s="315"/>
      <c r="AG130" s="315"/>
      <c r="AH130" s="315"/>
      <c r="AI130" s="199"/>
      <c r="AJ130" s="199">
        <f t="shared" si="218"/>
        <v>1</v>
      </c>
      <c r="AK130" s="831">
        <v>876600</v>
      </c>
      <c r="AL130" s="1053">
        <f>AK130+AK131+AK132+AK133+AK134</f>
        <v>4674840</v>
      </c>
      <c r="AM130" s="1052">
        <f>AL130/12*11</f>
        <v>4285270</v>
      </c>
      <c r="AN130" s="1052">
        <f>AL130/12</f>
        <v>389570</v>
      </c>
      <c r="AP130" s="318">
        <f t="shared" si="219"/>
        <v>8016</v>
      </c>
      <c r="AQ130" s="318">
        <f t="shared" si="220"/>
        <v>744</v>
      </c>
      <c r="AR130" s="318">
        <f t="shared" si="221"/>
        <v>8760</v>
      </c>
      <c r="AS130" s="1112">
        <f>AR130+AR131+AR132+AR133+AR134</f>
        <v>43800</v>
      </c>
      <c r="AT130" s="846">
        <v>100</v>
      </c>
      <c r="AU130" s="1102">
        <v>107</v>
      </c>
      <c r="AV130" s="836">
        <f t="shared" si="223"/>
        <v>876000</v>
      </c>
      <c r="AW130" s="1096">
        <f>AS130*AU130</f>
        <v>4686600</v>
      </c>
      <c r="AX130" s="1096">
        <f>AU130*(AP130+AP131+AP132+AP133+AP134)</f>
        <v>4288560</v>
      </c>
      <c r="AY130" s="1096">
        <f>AW130-AX130</f>
        <v>398040</v>
      </c>
      <c r="AZ130" s="1052">
        <f>AW130-AX130-AY130</f>
        <v>0</v>
      </c>
      <c r="BA130" s="1105">
        <f>AW130-AL130</f>
        <v>11760</v>
      </c>
      <c r="BB130" s="959">
        <v>5</v>
      </c>
      <c r="BC130" s="617">
        <f>AS130*AU130</f>
        <v>4686600</v>
      </c>
      <c r="BD130" s="617">
        <f>(AP130+AP131+AP132+AP133+AP134)*AU130</f>
        <v>4288560</v>
      </c>
      <c r="BE130" s="617">
        <f t="shared" si="234"/>
        <v>398040</v>
      </c>
      <c r="BF130" s="839"/>
      <c r="BG130" s="838">
        <f t="shared" si="235"/>
        <v>0</v>
      </c>
      <c r="BH130" s="838">
        <f t="shared" si="236"/>
        <v>0</v>
      </c>
      <c r="BI130" s="838">
        <f t="shared" si="237"/>
        <v>0</v>
      </c>
    </row>
    <row r="131" spans="1:62" s="184" customFormat="1" ht="18.75" customHeight="1" x14ac:dyDescent="0.2">
      <c r="A131" s="1045"/>
      <c r="B131" s="1045"/>
      <c r="C131" s="1046"/>
      <c r="D131" s="737" t="s">
        <v>370</v>
      </c>
      <c r="E131" s="658" t="s">
        <v>185</v>
      </c>
      <c r="F131" s="311">
        <v>1</v>
      </c>
      <c r="G131" s="198">
        <v>71700</v>
      </c>
      <c r="H131" s="709">
        <v>1.04</v>
      </c>
      <c r="I131" s="453">
        <v>74570</v>
      </c>
      <c r="J131" s="671">
        <v>1.0403</v>
      </c>
      <c r="K131" s="200">
        <v>77580</v>
      </c>
      <c r="L131" s="673">
        <v>1.02</v>
      </c>
      <c r="M131" s="200">
        <v>79130</v>
      </c>
      <c r="N131" s="185">
        <v>949560</v>
      </c>
      <c r="O131" s="710"/>
      <c r="P131" s="311"/>
      <c r="Q131" s="311"/>
      <c r="R131" s="311"/>
      <c r="S131" s="311"/>
      <c r="T131" s="315"/>
      <c r="U131" s="315"/>
      <c r="V131" s="315"/>
      <c r="W131" s="315"/>
      <c r="X131" s="315"/>
      <c r="Y131" s="199"/>
      <c r="Z131" s="311"/>
      <c r="AA131" s="311"/>
      <c r="AB131" s="311"/>
      <c r="AC131" s="311"/>
      <c r="AD131" s="311"/>
      <c r="AE131" s="311"/>
      <c r="AF131" s="315"/>
      <c r="AG131" s="315"/>
      <c r="AH131" s="315"/>
      <c r="AI131" s="199"/>
      <c r="AJ131" s="199">
        <f t="shared" si="218"/>
        <v>1</v>
      </c>
      <c r="AK131" s="831">
        <v>949560</v>
      </c>
      <c r="AL131" s="1053"/>
      <c r="AM131" s="1052"/>
      <c r="AN131" s="1052"/>
      <c r="AP131" s="318">
        <f t="shared" si="219"/>
        <v>8016</v>
      </c>
      <c r="AQ131" s="318">
        <f t="shared" si="220"/>
        <v>744</v>
      </c>
      <c r="AR131" s="318">
        <f t="shared" si="221"/>
        <v>8760</v>
      </c>
      <c r="AS131" s="1112"/>
      <c r="AT131" s="836">
        <v>108</v>
      </c>
      <c r="AU131" s="1102"/>
      <c r="AV131" s="836">
        <f t="shared" si="223"/>
        <v>946080</v>
      </c>
      <c r="AW131" s="1096"/>
      <c r="AX131" s="1096"/>
      <c r="AY131" s="1096"/>
      <c r="AZ131" s="1052"/>
      <c r="BA131" s="1105"/>
      <c r="BB131" s="959"/>
      <c r="BC131" s="838"/>
      <c r="BD131" s="838"/>
      <c r="BE131" s="838"/>
      <c r="BF131" s="838"/>
      <c r="BG131" s="838"/>
      <c r="BH131" s="838"/>
    </row>
    <row r="132" spans="1:62" s="184" customFormat="1" ht="18.75" customHeight="1" x14ac:dyDescent="0.2">
      <c r="A132" s="1045"/>
      <c r="B132" s="1045"/>
      <c r="C132" s="1046"/>
      <c r="D132" s="737" t="s">
        <v>371</v>
      </c>
      <c r="E132" s="658" t="s">
        <v>185</v>
      </c>
      <c r="F132" s="311">
        <v>1</v>
      </c>
      <c r="G132" s="198">
        <v>71700</v>
      </c>
      <c r="H132" s="709">
        <v>1.04</v>
      </c>
      <c r="I132" s="453">
        <v>74570</v>
      </c>
      <c r="J132" s="671">
        <v>1.0403</v>
      </c>
      <c r="K132" s="200">
        <v>77580</v>
      </c>
      <c r="L132" s="673">
        <v>1.02</v>
      </c>
      <c r="M132" s="200">
        <v>79130</v>
      </c>
      <c r="N132" s="185">
        <v>949560</v>
      </c>
      <c r="O132" s="710"/>
      <c r="P132" s="311"/>
      <c r="Q132" s="311"/>
      <c r="R132" s="311"/>
      <c r="S132" s="311"/>
      <c r="T132" s="315"/>
      <c r="U132" s="315"/>
      <c r="V132" s="315"/>
      <c r="W132" s="315"/>
      <c r="X132" s="315"/>
      <c r="Y132" s="199"/>
      <c r="Z132" s="311"/>
      <c r="AA132" s="311"/>
      <c r="AB132" s="311"/>
      <c r="AC132" s="311"/>
      <c r="AD132" s="311"/>
      <c r="AE132" s="311"/>
      <c r="AF132" s="315"/>
      <c r="AG132" s="315"/>
      <c r="AH132" s="315"/>
      <c r="AI132" s="199"/>
      <c r="AJ132" s="199">
        <f t="shared" si="218"/>
        <v>1</v>
      </c>
      <c r="AK132" s="831">
        <v>949560</v>
      </c>
      <c r="AL132" s="1053"/>
      <c r="AM132" s="1052"/>
      <c r="AN132" s="1052"/>
      <c r="AP132" s="318">
        <f t="shared" si="219"/>
        <v>8016</v>
      </c>
      <c r="AQ132" s="318">
        <f t="shared" si="220"/>
        <v>744</v>
      </c>
      <c r="AR132" s="318">
        <f t="shared" si="221"/>
        <v>8760</v>
      </c>
      <c r="AS132" s="1112"/>
      <c r="AT132" s="836">
        <v>108</v>
      </c>
      <c r="AU132" s="1102"/>
      <c r="AV132" s="836">
        <f t="shared" si="223"/>
        <v>946080</v>
      </c>
      <c r="AW132" s="1096"/>
      <c r="AX132" s="1096"/>
      <c r="AY132" s="1096"/>
      <c r="AZ132" s="1052"/>
      <c r="BA132" s="1105"/>
      <c r="BB132" s="959"/>
      <c r="BC132" s="838"/>
      <c r="BD132" s="838"/>
      <c r="BE132" s="838"/>
      <c r="BF132" s="838"/>
      <c r="BG132" s="838"/>
      <c r="BH132" s="838"/>
    </row>
    <row r="133" spans="1:62" s="184" customFormat="1" ht="18.75" customHeight="1" x14ac:dyDescent="0.2">
      <c r="A133" s="1045"/>
      <c r="B133" s="1045"/>
      <c r="C133" s="1046"/>
      <c r="D133" s="737" t="s">
        <v>373</v>
      </c>
      <c r="E133" s="658" t="s">
        <v>185</v>
      </c>
      <c r="F133" s="311">
        <v>1</v>
      </c>
      <c r="G133" s="198">
        <v>71700</v>
      </c>
      <c r="H133" s="709">
        <v>1.04</v>
      </c>
      <c r="I133" s="453">
        <v>74570</v>
      </c>
      <c r="J133" s="671">
        <v>1.0403</v>
      </c>
      <c r="K133" s="200">
        <v>77580</v>
      </c>
      <c r="L133" s="673">
        <v>1.02</v>
      </c>
      <c r="M133" s="200">
        <v>79130</v>
      </c>
      <c r="N133" s="185">
        <v>949560</v>
      </c>
      <c r="O133" s="710"/>
      <c r="P133" s="311"/>
      <c r="Q133" s="311"/>
      <c r="R133" s="311"/>
      <c r="S133" s="311"/>
      <c r="T133" s="315"/>
      <c r="U133" s="315"/>
      <c r="V133" s="315"/>
      <c r="W133" s="315"/>
      <c r="X133" s="315"/>
      <c r="Y133" s="199"/>
      <c r="Z133" s="311"/>
      <c r="AA133" s="311"/>
      <c r="AB133" s="311"/>
      <c r="AC133" s="311"/>
      <c r="AD133" s="311"/>
      <c r="AE133" s="311"/>
      <c r="AF133" s="315"/>
      <c r="AG133" s="315"/>
      <c r="AH133" s="315"/>
      <c r="AI133" s="199"/>
      <c r="AJ133" s="199">
        <f t="shared" si="218"/>
        <v>1</v>
      </c>
      <c r="AK133" s="831">
        <v>949560</v>
      </c>
      <c r="AL133" s="1053"/>
      <c r="AM133" s="1052"/>
      <c r="AN133" s="1052"/>
      <c r="AP133" s="318">
        <f t="shared" si="219"/>
        <v>8016</v>
      </c>
      <c r="AQ133" s="318">
        <f t="shared" si="220"/>
        <v>744</v>
      </c>
      <c r="AR133" s="318">
        <f t="shared" si="221"/>
        <v>8760</v>
      </c>
      <c r="AS133" s="1112"/>
      <c r="AT133" s="836">
        <v>108</v>
      </c>
      <c r="AU133" s="1102"/>
      <c r="AV133" s="836">
        <f t="shared" si="223"/>
        <v>946080</v>
      </c>
      <c r="AW133" s="1096"/>
      <c r="AX133" s="1096"/>
      <c r="AY133" s="1096"/>
      <c r="AZ133" s="1052"/>
      <c r="BA133" s="1105"/>
      <c r="BB133" s="959"/>
      <c r="BC133" s="838"/>
      <c r="BD133" s="838"/>
      <c r="BE133" s="838"/>
      <c r="BF133" s="838"/>
      <c r="BG133" s="838"/>
      <c r="BH133" s="838"/>
    </row>
    <row r="134" spans="1:62" s="184" customFormat="1" ht="18.75" customHeight="1" x14ac:dyDescent="0.2">
      <c r="A134" s="1045"/>
      <c r="B134" s="1045"/>
      <c r="C134" s="1046"/>
      <c r="D134" s="737" t="s">
        <v>372</v>
      </c>
      <c r="E134" s="658" t="s">
        <v>185</v>
      </c>
      <c r="F134" s="311">
        <v>1</v>
      </c>
      <c r="G134" s="198">
        <v>71700</v>
      </c>
      <c r="H134" s="709">
        <v>1.04</v>
      </c>
      <c r="I134" s="453">
        <v>74570</v>
      </c>
      <c r="J134" s="671">
        <v>1.0403</v>
      </c>
      <c r="K134" s="200">
        <v>77580</v>
      </c>
      <c r="L134" s="673">
        <v>1.02</v>
      </c>
      <c r="M134" s="200">
        <v>79130</v>
      </c>
      <c r="N134" s="185">
        <v>949560</v>
      </c>
      <c r="O134" s="710"/>
      <c r="P134" s="311"/>
      <c r="Q134" s="311"/>
      <c r="R134" s="311"/>
      <c r="S134" s="311"/>
      <c r="T134" s="315"/>
      <c r="U134" s="315"/>
      <c r="V134" s="315"/>
      <c r="W134" s="315"/>
      <c r="X134" s="315"/>
      <c r="Y134" s="199"/>
      <c r="Z134" s="311"/>
      <c r="AA134" s="311"/>
      <c r="AB134" s="311"/>
      <c r="AC134" s="311"/>
      <c r="AD134" s="311"/>
      <c r="AE134" s="311"/>
      <c r="AF134" s="315"/>
      <c r="AG134" s="315"/>
      <c r="AH134" s="315"/>
      <c r="AI134" s="199"/>
      <c r="AJ134" s="199">
        <f t="shared" si="218"/>
        <v>1</v>
      </c>
      <c r="AK134" s="831">
        <v>949560</v>
      </c>
      <c r="AL134" s="1053"/>
      <c r="AM134" s="1052"/>
      <c r="AN134" s="1052"/>
      <c r="AP134" s="318">
        <f t="shared" si="219"/>
        <v>8016</v>
      </c>
      <c r="AQ134" s="318">
        <f t="shared" si="220"/>
        <v>744</v>
      </c>
      <c r="AR134" s="318">
        <f t="shared" si="221"/>
        <v>8760</v>
      </c>
      <c r="AS134" s="1112"/>
      <c r="AT134" s="836">
        <v>108</v>
      </c>
      <c r="AU134" s="1102"/>
      <c r="AV134" s="836">
        <f t="shared" si="223"/>
        <v>946080</v>
      </c>
      <c r="AW134" s="1096"/>
      <c r="AX134" s="1096"/>
      <c r="AY134" s="1096"/>
      <c r="AZ134" s="1052"/>
      <c r="BA134" s="1105"/>
      <c r="BB134" s="959"/>
      <c r="BC134" s="838"/>
      <c r="BD134" s="838"/>
      <c r="BE134" s="838"/>
      <c r="BF134" s="838"/>
      <c r="BG134" s="838"/>
      <c r="BH134" s="838"/>
    </row>
    <row r="135" spans="1:62" s="184" customFormat="1" ht="31.5" customHeight="1" x14ac:dyDescent="0.2">
      <c r="A135" s="726">
        <v>36</v>
      </c>
      <c r="B135" s="726">
        <v>5</v>
      </c>
      <c r="C135" s="459" t="s">
        <v>99</v>
      </c>
      <c r="D135" s="737" t="s">
        <v>98</v>
      </c>
      <c r="E135" s="658" t="s">
        <v>185</v>
      </c>
      <c r="F135" s="311">
        <v>1</v>
      </c>
      <c r="G135" s="198">
        <v>71700</v>
      </c>
      <c r="H135" s="709">
        <v>1.04</v>
      </c>
      <c r="I135" s="453">
        <v>74570</v>
      </c>
      <c r="J135" s="671">
        <v>1.0403</v>
      </c>
      <c r="K135" s="200">
        <v>77580</v>
      </c>
      <c r="L135" s="673">
        <v>1.02</v>
      </c>
      <c r="M135" s="200">
        <v>79130</v>
      </c>
      <c r="N135" s="185">
        <v>949560</v>
      </c>
      <c r="O135" s="710"/>
      <c r="P135" s="311"/>
      <c r="Q135" s="311"/>
      <c r="R135" s="311"/>
      <c r="S135" s="311"/>
      <c r="T135" s="315"/>
      <c r="U135" s="315"/>
      <c r="V135" s="315"/>
      <c r="W135" s="315"/>
      <c r="X135" s="315"/>
      <c r="Y135" s="199"/>
      <c r="Z135" s="311"/>
      <c r="AA135" s="311"/>
      <c r="AB135" s="311"/>
      <c r="AC135" s="311"/>
      <c r="AD135" s="311"/>
      <c r="AE135" s="311"/>
      <c r="AF135" s="315"/>
      <c r="AG135" s="315"/>
      <c r="AH135" s="315"/>
      <c r="AI135" s="199"/>
      <c r="AJ135" s="199">
        <f t="shared" si="218"/>
        <v>1</v>
      </c>
      <c r="AK135" s="831">
        <v>949560</v>
      </c>
      <c r="AL135" s="200">
        <f>AK135</f>
        <v>949560</v>
      </c>
      <c r="AM135" s="199">
        <f>AL135/12*11</f>
        <v>870430</v>
      </c>
      <c r="AN135" s="199">
        <f>AL135/12</f>
        <v>79130</v>
      </c>
      <c r="AP135" s="318">
        <f t="shared" si="219"/>
        <v>8016</v>
      </c>
      <c r="AQ135" s="318">
        <f t="shared" si="220"/>
        <v>744</v>
      </c>
      <c r="AR135" s="318">
        <f t="shared" si="221"/>
        <v>8760</v>
      </c>
      <c r="AS135" s="925">
        <f t="shared" ref="AS135" si="238">AR135</f>
        <v>8760</v>
      </c>
      <c r="AT135" s="836">
        <v>108</v>
      </c>
      <c r="AU135" s="941">
        <v>108</v>
      </c>
      <c r="AV135" s="836">
        <f t="shared" si="223"/>
        <v>946080</v>
      </c>
      <c r="AW135" s="885">
        <f>AV135</f>
        <v>946080</v>
      </c>
      <c r="AX135" s="885">
        <f>AU135*AP135</f>
        <v>865728</v>
      </c>
      <c r="AY135" s="885">
        <f>AW135-AX135</f>
        <v>80352</v>
      </c>
      <c r="AZ135" s="387">
        <f>AW135-AX135-AY135</f>
        <v>0</v>
      </c>
      <c r="BA135" s="596">
        <f>AW135-AL135</f>
        <v>-3480</v>
      </c>
      <c r="BB135" s="959">
        <v>1</v>
      </c>
      <c r="BC135" s="617">
        <f t="shared" ref="BC135" si="239">AS135*AU135</f>
        <v>946080</v>
      </c>
      <c r="BD135" s="617">
        <f t="shared" ref="BD135" si="240">(AP135)*AU135</f>
        <v>865728</v>
      </c>
      <c r="BE135" s="617">
        <f t="shared" ref="BE135:BE136" si="241">BC135-BD135</f>
        <v>80352</v>
      </c>
      <c r="BF135" s="838"/>
      <c r="BG135" s="838">
        <f t="shared" ref="BG135:BG136" si="242">BC135-AW135</f>
        <v>0</v>
      </c>
      <c r="BH135" s="838">
        <f t="shared" ref="BH135:BH136" si="243">BD135-AX135</f>
        <v>0</v>
      </c>
      <c r="BI135" s="838">
        <f t="shared" ref="BI135:BI136" si="244">BE135-AY135</f>
        <v>0</v>
      </c>
    </row>
    <row r="136" spans="1:62" s="184" customFormat="1" ht="18.75" customHeight="1" x14ac:dyDescent="0.2">
      <c r="A136" s="1045">
        <v>37</v>
      </c>
      <c r="B136" s="1045">
        <v>6</v>
      </c>
      <c r="C136" s="1046" t="s">
        <v>398</v>
      </c>
      <c r="D136" s="737" t="s">
        <v>120</v>
      </c>
      <c r="E136" s="658" t="s">
        <v>185</v>
      </c>
      <c r="F136" s="311">
        <v>1</v>
      </c>
      <c r="G136" s="198">
        <v>71700</v>
      </c>
      <c r="H136" s="709">
        <v>1.04</v>
      </c>
      <c r="I136" s="453">
        <v>74570</v>
      </c>
      <c r="J136" s="671">
        <v>1.0403</v>
      </c>
      <c r="K136" s="200">
        <v>77580</v>
      </c>
      <c r="L136" s="673">
        <v>1.02</v>
      </c>
      <c r="M136" s="200">
        <v>79130</v>
      </c>
      <c r="N136" s="185">
        <v>949560</v>
      </c>
      <c r="O136" s="710"/>
      <c r="P136" s="311"/>
      <c r="Q136" s="311"/>
      <c r="R136" s="311"/>
      <c r="S136" s="311"/>
      <c r="T136" s="315"/>
      <c r="U136" s="315"/>
      <c r="V136" s="315"/>
      <c r="W136" s="315"/>
      <c r="X136" s="315"/>
      <c r="Y136" s="199"/>
      <c r="Z136" s="311"/>
      <c r="AA136" s="311"/>
      <c r="AB136" s="311"/>
      <c r="AC136" s="311"/>
      <c r="AD136" s="311"/>
      <c r="AE136" s="311"/>
      <c r="AF136" s="315"/>
      <c r="AG136" s="315"/>
      <c r="AH136" s="315"/>
      <c r="AI136" s="199"/>
      <c r="AJ136" s="199">
        <f t="shared" si="218"/>
        <v>1</v>
      </c>
      <c r="AK136" s="831">
        <v>949560</v>
      </c>
      <c r="AL136" s="1053">
        <f>AK136+AK137+AK138</f>
        <v>2848680</v>
      </c>
      <c r="AM136" s="1052">
        <f>AL136/12*11</f>
        <v>2611290</v>
      </c>
      <c r="AN136" s="1052">
        <f>AL136/12</f>
        <v>237390</v>
      </c>
      <c r="AP136" s="318">
        <f t="shared" si="219"/>
        <v>8016</v>
      </c>
      <c r="AQ136" s="318">
        <f t="shared" si="220"/>
        <v>744</v>
      </c>
      <c r="AR136" s="318">
        <f t="shared" si="221"/>
        <v>8760</v>
      </c>
      <c r="AS136" s="1112">
        <f>AR136+AR137+AR138</f>
        <v>26280</v>
      </c>
      <c r="AT136" s="836">
        <v>108</v>
      </c>
      <c r="AU136" s="1102">
        <v>108</v>
      </c>
      <c r="AV136" s="836">
        <f t="shared" si="223"/>
        <v>946080</v>
      </c>
      <c r="AW136" s="1096">
        <f>AU136*AS136</f>
        <v>2838240</v>
      </c>
      <c r="AX136" s="1096">
        <f>AU136*(AP136+AP137+AP138)</f>
        <v>2597184</v>
      </c>
      <c r="AY136" s="1096">
        <f>AW136-AX136</f>
        <v>241056</v>
      </c>
      <c r="AZ136" s="1097">
        <f>AW136-AX136-AY136</f>
        <v>0</v>
      </c>
      <c r="BA136" s="1103">
        <f>AW136-AL136</f>
        <v>-10440</v>
      </c>
      <c r="BB136" s="959">
        <v>3</v>
      </c>
      <c r="BC136" s="617">
        <f>AS136*AU136</f>
        <v>2838240</v>
      </c>
      <c r="BD136" s="617">
        <f>(AP136+AP137+AP138)*AU136</f>
        <v>2597184</v>
      </c>
      <c r="BE136" s="617">
        <f t="shared" si="241"/>
        <v>241056</v>
      </c>
      <c r="BF136" s="838"/>
      <c r="BG136" s="838">
        <f t="shared" si="242"/>
        <v>0</v>
      </c>
      <c r="BH136" s="838">
        <f t="shared" si="243"/>
        <v>0</v>
      </c>
      <c r="BI136" s="838">
        <f t="shared" si="244"/>
        <v>0</v>
      </c>
    </row>
    <row r="137" spans="1:62" s="184" customFormat="1" ht="18.75" customHeight="1" x14ac:dyDescent="0.2">
      <c r="A137" s="1045"/>
      <c r="B137" s="1045"/>
      <c r="C137" s="1046"/>
      <c r="D137" s="737" t="s">
        <v>368</v>
      </c>
      <c r="E137" s="658" t="s">
        <v>185</v>
      </c>
      <c r="F137" s="311">
        <v>1</v>
      </c>
      <c r="G137" s="198">
        <v>71700</v>
      </c>
      <c r="H137" s="709">
        <v>1.04</v>
      </c>
      <c r="I137" s="453">
        <v>74570</v>
      </c>
      <c r="J137" s="671">
        <v>1.0403</v>
      </c>
      <c r="K137" s="200">
        <v>77580</v>
      </c>
      <c r="L137" s="673">
        <v>1.02</v>
      </c>
      <c r="M137" s="200">
        <v>79130</v>
      </c>
      <c r="N137" s="185">
        <v>949560</v>
      </c>
      <c r="O137" s="710"/>
      <c r="P137" s="311"/>
      <c r="Q137" s="311"/>
      <c r="R137" s="311"/>
      <c r="S137" s="311"/>
      <c r="T137" s="315"/>
      <c r="U137" s="315"/>
      <c r="V137" s="315"/>
      <c r="W137" s="315"/>
      <c r="X137" s="315"/>
      <c r="Y137" s="199"/>
      <c r="Z137" s="311"/>
      <c r="AA137" s="311"/>
      <c r="AB137" s="311"/>
      <c r="AC137" s="311"/>
      <c r="AD137" s="311"/>
      <c r="AE137" s="311"/>
      <c r="AF137" s="315"/>
      <c r="AG137" s="315"/>
      <c r="AH137" s="315"/>
      <c r="AI137" s="199"/>
      <c r="AJ137" s="199">
        <f t="shared" si="218"/>
        <v>1</v>
      </c>
      <c r="AK137" s="831">
        <v>949560</v>
      </c>
      <c r="AL137" s="1053"/>
      <c r="AM137" s="1052"/>
      <c r="AN137" s="1052"/>
      <c r="AP137" s="318">
        <f t="shared" si="219"/>
        <v>8016</v>
      </c>
      <c r="AQ137" s="318">
        <f t="shared" si="220"/>
        <v>744</v>
      </c>
      <c r="AR137" s="318">
        <f t="shared" si="221"/>
        <v>8760</v>
      </c>
      <c r="AS137" s="1112"/>
      <c r="AT137" s="836">
        <v>108</v>
      </c>
      <c r="AU137" s="1102"/>
      <c r="AV137" s="836">
        <f t="shared" si="223"/>
        <v>946080</v>
      </c>
      <c r="AW137" s="1096"/>
      <c r="AX137" s="1096"/>
      <c r="AY137" s="1096"/>
      <c r="AZ137" s="1097"/>
      <c r="BA137" s="1103"/>
      <c r="BB137" s="959"/>
      <c r="BC137" s="617"/>
      <c r="BD137" s="617"/>
      <c r="BE137" s="617"/>
      <c r="BF137" s="838"/>
      <c r="BG137" s="838"/>
      <c r="BH137" s="838"/>
      <c r="BI137" s="838"/>
    </row>
    <row r="138" spans="1:62" s="184" customFormat="1" ht="18.75" customHeight="1" x14ac:dyDescent="0.2">
      <c r="A138" s="1045"/>
      <c r="B138" s="1045"/>
      <c r="C138" s="1046"/>
      <c r="D138" s="737" t="s">
        <v>369</v>
      </c>
      <c r="E138" s="658" t="s">
        <v>185</v>
      </c>
      <c r="F138" s="311">
        <v>1</v>
      </c>
      <c r="G138" s="198"/>
      <c r="H138" s="709"/>
      <c r="I138" s="453"/>
      <c r="J138" s="671"/>
      <c r="K138" s="200">
        <v>77580</v>
      </c>
      <c r="L138" s="673">
        <v>1.02</v>
      </c>
      <c r="M138" s="200">
        <v>79130</v>
      </c>
      <c r="N138" s="185">
        <v>949560</v>
      </c>
      <c r="O138" s="315"/>
      <c r="P138" s="311"/>
      <c r="Q138" s="311"/>
      <c r="R138" s="311"/>
      <c r="S138" s="311"/>
      <c r="T138" s="315"/>
      <c r="U138" s="315"/>
      <c r="V138" s="315"/>
      <c r="W138" s="315"/>
      <c r="X138" s="315"/>
      <c r="Y138" s="199"/>
      <c r="Z138" s="311"/>
      <c r="AA138" s="311"/>
      <c r="AB138" s="311"/>
      <c r="AC138" s="311"/>
      <c r="AD138" s="311"/>
      <c r="AE138" s="311"/>
      <c r="AF138" s="315"/>
      <c r="AG138" s="315"/>
      <c r="AH138" s="315"/>
      <c r="AI138" s="199"/>
      <c r="AJ138" s="199">
        <f t="shared" si="218"/>
        <v>1</v>
      </c>
      <c r="AK138" s="831">
        <v>949560</v>
      </c>
      <c r="AL138" s="1053"/>
      <c r="AM138" s="1052"/>
      <c r="AN138" s="1052"/>
      <c r="AP138" s="318">
        <f t="shared" si="219"/>
        <v>8016</v>
      </c>
      <c r="AQ138" s="318">
        <f t="shared" si="220"/>
        <v>744</v>
      </c>
      <c r="AR138" s="318">
        <f t="shared" si="221"/>
        <v>8760</v>
      </c>
      <c r="AS138" s="1112"/>
      <c r="AT138" s="836">
        <v>108</v>
      </c>
      <c r="AU138" s="1102"/>
      <c r="AV138" s="836">
        <f t="shared" si="223"/>
        <v>946080</v>
      </c>
      <c r="AW138" s="1096"/>
      <c r="AX138" s="1096"/>
      <c r="AY138" s="1096"/>
      <c r="AZ138" s="1097"/>
      <c r="BA138" s="1103"/>
      <c r="BB138" s="959"/>
      <c r="BC138" s="617"/>
      <c r="BD138" s="617"/>
      <c r="BE138" s="617"/>
      <c r="BF138" s="838"/>
      <c r="BG138" s="838"/>
      <c r="BH138" s="838"/>
      <c r="BI138" s="838"/>
    </row>
    <row r="139" spans="1:62" s="767" customFormat="1" ht="18.75" customHeight="1" x14ac:dyDescent="0.2">
      <c r="A139" s="761"/>
      <c r="B139" s="761"/>
      <c r="C139" s="762" t="s">
        <v>1</v>
      </c>
      <c r="D139" s="763"/>
      <c r="E139" s="764"/>
      <c r="F139" s="765">
        <f>SUM(F126:F138)</f>
        <v>13</v>
      </c>
      <c r="G139" s="765"/>
      <c r="H139" s="765"/>
      <c r="I139" s="765"/>
      <c r="J139" s="765"/>
      <c r="K139" s="765"/>
      <c r="L139" s="765"/>
      <c r="M139" s="765"/>
      <c r="N139" s="765">
        <f>SUM(N126:N138)</f>
        <v>12271320</v>
      </c>
      <c r="O139" s="765"/>
      <c r="P139" s="765"/>
      <c r="Q139" s="765"/>
      <c r="R139" s="765"/>
      <c r="S139" s="765"/>
      <c r="T139" s="765"/>
      <c r="U139" s="765"/>
      <c r="V139" s="765"/>
      <c r="W139" s="765"/>
      <c r="X139" s="765"/>
      <c r="Y139" s="765"/>
      <c r="Z139" s="765"/>
      <c r="AA139" s="765"/>
      <c r="AB139" s="765"/>
      <c r="AC139" s="765"/>
      <c r="AD139" s="765"/>
      <c r="AE139" s="765"/>
      <c r="AF139" s="765"/>
      <c r="AG139" s="765"/>
      <c r="AH139" s="765"/>
      <c r="AI139" s="765"/>
      <c r="AJ139" s="765">
        <f>SUM(AJ126:AJ138)</f>
        <v>13</v>
      </c>
      <c r="AK139" s="878">
        <f>SUM(AK126:AK138)</f>
        <v>12271320</v>
      </c>
      <c r="AL139" s="816">
        <f>SUM(AL126:AL138)</f>
        <v>12271320</v>
      </c>
      <c r="AM139" s="878">
        <f>SUM(AM126:AM138)</f>
        <v>11248710</v>
      </c>
      <c r="AN139" s="878">
        <f>SUM(AN126:AN138)</f>
        <v>1022610</v>
      </c>
      <c r="AO139" s="766"/>
      <c r="AP139" s="764">
        <f>SUM(AP126:AP138)</f>
        <v>104208</v>
      </c>
      <c r="AQ139" s="764">
        <f>SUM(AQ126:AQ138)</f>
        <v>9672</v>
      </c>
      <c r="AR139" s="764">
        <f>SUM(AR126:AR138)</f>
        <v>113880</v>
      </c>
      <c r="AS139" s="926">
        <f>SUM(AS126:AS138)</f>
        <v>113880</v>
      </c>
      <c r="AT139" s="826">
        <f>AV139/AR139</f>
        <v>107.38461538461539</v>
      </c>
      <c r="AU139" s="942">
        <f>AW139/AS139</f>
        <v>107.61538461538461</v>
      </c>
      <c r="AV139" s="858">
        <f>SUM(AV126:AV138)</f>
        <v>12228960</v>
      </c>
      <c r="AW139" s="890">
        <f>SUM(AW126:AW138)</f>
        <v>12255240</v>
      </c>
      <c r="AX139" s="890">
        <f>SUM(AX126:AX138)</f>
        <v>11214384</v>
      </c>
      <c r="AY139" s="890">
        <f>SUM(AY126:AY138)</f>
        <v>1040856</v>
      </c>
      <c r="AZ139" s="847"/>
      <c r="BA139" s="183"/>
      <c r="BB139" s="960"/>
      <c r="BC139" s="969">
        <f t="shared" ref="BC139" si="245">AS139*AU139</f>
        <v>12255240</v>
      </c>
      <c r="BD139" s="969">
        <f>(AP139)*AU139</f>
        <v>11214384</v>
      </c>
      <c r="BE139" s="969">
        <f>BC139-BD139</f>
        <v>1040856</v>
      </c>
      <c r="BF139" s="969"/>
      <c r="BG139" s="969">
        <f t="shared" ref="BG139" si="246">BC139-AW139</f>
        <v>0</v>
      </c>
      <c r="BH139" s="969">
        <f t="shared" ref="BH139" si="247">BD139-AX139</f>
        <v>0</v>
      </c>
      <c r="BI139" s="969">
        <f t="shared" ref="BI139" si="248">BE139-AY139</f>
        <v>0</v>
      </c>
      <c r="BJ139" s="969"/>
    </row>
    <row r="140" spans="1:62" s="196" customFormat="1" ht="18.75" customHeight="1" x14ac:dyDescent="0.2">
      <c r="B140" s="1072" t="s">
        <v>96</v>
      </c>
      <c r="C140" s="1072"/>
      <c r="D140" s="1072"/>
      <c r="E140" s="1072"/>
      <c r="F140" s="1072"/>
      <c r="G140" s="208"/>
      <c r="H140" s="656"/>
      <c r="I140" s="208"/>
      <c r="J140" s="656"/>
      <c r="K140" s="680"/>
      <c r="L140" s="729"/>
      <c r="M140" s="200"/>
      <c r="N140" s="185"/>
      <c r="O140" s="672"/>
      <c r="P140" s="179"/>
      <c r="Q140" s="179"/>
      <c r="R140" s="179"/>
      <c r="S140" s="179"/>
      <c r="T140" s="194"/>
      <c r="U140" s="194"/>
      <c r="V140" s="194"/>
      <c r="W140" s="194"/>
      <c r="X140" s="194"/>
      <c r="Y140" s="622"/>
      <c r="Z140" s="194"/>
      <c r="AA140" s="194"/>
      <c r="AB140" s="194"/>
      <c r="AC140" s="194"/>
      <c r="AD140" s="194"/>
      <c r="AE140" s="194"/>
      <c r="AF140" s="194"/>
      <c r="AG140" s="194"/>
      <c r="AH140" s="194"/>
      <c r="AI140" s="596"/>
      <c r="AJ140" s="185"/>
      <c r="AK140" s="831"/>
      <c r="AL140" s="200"/>
      <c r="AM140" s="199"/>
      <c r="AN140" s="199"/>
      <c r="AO140" s="184"/>
      <c r="AP140" s="546"/>
      <c r="AQ140" s="546"/>
      <c r="AR140" s="546"/>
      <c r="AS140" s="924"/>
      <c r="AT140" s="842"/>
      <c r="AU140" s="942"/>
      <c r="AV140" s="836"/>
      <c r="AW140" s="200"/>
      <c r="AX140" s="200"/>
      <c r="AY140" s="200"/>
      <c r="AZ140" s="850"/>
      <c r="BA140" s="183"/>
      <c r="BB140" s="959"/>
      <c r="BC140" s="839"/>
      <c r="BD140" s="839"/>
      <c r="BE140" s="839"/>
      <c r="BF140" s="839"/>
      <c r="BG140" s="839"/>
      <c r="BH140" s="839"/>
    </row>
    <row r="141" spans="1:62" s="183" customFormat="1" ht="18.75" customHeight="1" x14ac:dyDescent="0.2">
      <c r="A141" s="1041">
        <v>38</v>
      </c>
      <c r="B141" s="1041">
        <v>7</v>
      </c>
      <c r="C141" s="1042" t="s">
        <v>253</v>
      </c>
      <c r="D141" s="737" t="s">
        <v>340</v>
      </c>
      <c r="E141" s="659" t="s">
        <v>185</v>
      </c>
      <c r="F141" s="199">
        <v>1</v>
      </c>
      <c r="G141" s="199">
        <v>71700</v>
      </c>
      <c r="H141" s="658">
        <v>1.04</v>
      </c>
      <c r="I141" s="198">
        <v>74570</v>
      </c>
      <c r="J141" s="671">
        <v>1.0403</v>
      </c>
      <c r="K141" s="200">
        <v>77580</v>
      </c>
      <c r="L141" s="673">
        <v>1.02</v>
      </c>
      <c r="M141" s="200">
        <v>79130</v>
      </c>
      <c r="N141" s="185">
        <v>949560</v>
      </c>
      <c r="O141" s="315"/>
      <c r="P141" s="311"/>
      <c r="Q141" s="199"/>
      <c r="R141" s="658"/>
      <c r="S141" s="199"/>
      <c r="T141" s="658"/>
      <c r="U141" s="200"/>
      <c r="V141" s="200"/>
      <c r="W141" s="200"/>
      <c r="X141" s="315"/>
      <c r="Y141" s="185"/>
      <c r="Z141" s="318"/>
      <c r="AA141" s="318"/>
      <c r="AB141" s="318"/>
      <c r="AC141" s="318"/>
      <c r="AD141" s="318"/>
      <c r="AE141" s="318"/>
      <c r="AF141" s="318"/>
      <c r="AG141" s="318"/>
      <c r="AH141" s="318"/>
      <c r="AI141" s="318"/>
      <c r="AJ141" s="199">
        <f t="shared" ref="AJ141:AJ174" si="249">F141+P141+AA141</f>
        <v>1</v>
      </c>
      <c r="AK141" s="831">
        <v>949560</v>
      </c>
      <c r="AL141" s="1053">
        <f>AK141+AK142+AK143+AK144+AK145+AK146+AK147+AK148</f>
        <v>7646412</v>
      </c>
      <c r="AM141" s="1052">
        <f>AL141/12*11</f>
        <v>7009211</v>
      </c>
      <c r="AN141" s="1052">
        <f>AL141/12</f>
        <v>637201</v>
      </c>
      <c r="AO141" s="184"/>
      <c r="AP141" s="318">
        <f t="shared" ref="AP141:AP147" si="250">24*(365-31)*1</f>
        <v>8016</v>
      </c>
      <c r="AQ141" s="318">
        <f t="shared" ref="AQ141:AQ147" si="251">24*31</f>
        <v>744</v>
      </c>
      <c r="AR141" s="318">
        <f t="shared" ref="AR141:AR148" si="252">SUM(AP141:AQ141)</f>
        <v>8760</v>
      </c>
      <c r="AS141" s="1112">
        <f>AR141+AR142+AR143+AR144+AR145+AR146+AR147+AR148</f>
        <v>65700</v>
      </c>
      <c r="AT141" s="836">
        <v>108</v>
      </c>
      <c r="AU141" s="1113">
        <v>117</v>
      </c>
      <c r="AV141" s="836">
        <f t="shared" ref="AV141:AV174" si="253">AT141*AR141</f>
        <v>946080</v>
      </c>
      <c r="AW141" s="1096">
        <f>AS141*AU141</f>
        <v>7686900</v>
      </c>
      <c r="AX141" s="1096">
        <f>AU141*(AP141+AP142+AP143+AP144+AP145+AP146+AP147+AP148)</f>
        <v>7034040</v>
      </c>
      <c r="AY141" s="1096">
        <f>AW141-AX141</f>
        <v>652860</v>
      </c>
      <c r="AZ141" s="1104">
        <f>AW141-AX141-AY141</f>
        <v>0</v>
      </c>
      <c r="BA141" s="1103">
        <f>AW141-AL141</f>
        <v>40488</v>
      </c>
      <c r="BB141" s="959">
        <v>8</v>
      </c>
      <c r="BC141" s="617">
        <f>AS141*AU141</f>
        <v>7686900</v>
      </c>
      <c r="BD141" s="617">
        <f>(AP141+AP142+AP143+AP144+AP145+AP146+AP147+AP148)*AU141</f>
        <v>7034040</v>
      </c>
      <c r="BE141" s="617">
        <f>BC141-BD141</f>
        <v>652860</v>
      </c>
      <c r="BF141" s="839"/>
      <c r="BG141" s="838">
        <f t="shared" ref="BG141" si="254">BC141-AW141</f>
        <v>0</v>
      </c>
      <c r="BH141" s="838">
        <f t="shared" ref="BH141" si="255">BD141-AX141</f>
        <v>0</v>
      </c>
      <c r="BI141" s="838">
        <f t="shared" ref="BI141" si="256">BE141-AY141</f>
        <v>0</v>
      </c>
    </row>
    <row r="142" spans="1:62" s="183" customFormat="1" ht="18.75" customHeight="1" x14ac:dyDescent="0.2">
      <c r="A142" s="1041"/>
      <c r="B142" s="1041"/>
      <c r="C142" s="1042"/>
      <c r="D142" s="737" t="s">
        <v>341</v>
      </c>
      <c r="E142" s="659" t="s">
        <v>185</v>
      </c>
      <c r="F142" s="199">
        <v>1</v>
      </c>
      <c r="G142" s="199">
        <v>71700</v>
      </c>
      <c r="H142" s="658">
        <v>1.04</v>
      </c>
      <c r="I142" s="198">
        <v>74570</v>
      </c>
      <c r="J142" s="671">
        <v>1.0403</v>
      </c>
      <c r="K142" s="200">
        <v>77580</v>
      </c>
      <c r="L142" s="673">
        <v>1.02</v>
      </c>
      <c r="M142" s="200">
        <v>79130</v>
      </c>
      <c r="N142" s="185">
        <v>949560</v>
      </c>
      <c r="O142" s="315"/>
      <c r="P142" s="311"/>
      <c r="Q142" s="199"/>
      <c r="R142" s="658"/>
      <c r="S142" s="199"/>
      <c r="T142" s="658"/>
      <c r="U142" s="200"/>
      <c r="V142" s="200"/>
      <c r="W142" s="200"/>
      <c r="X142" s="315"/>
      <c r="Y142" s="185"/>
      <c r="Z142" s="318"/>
      <c r="AA142" s="318"/>
      <c r="AB142" s="318"/>
      <c r="AC142" s="318"/>
      <c r="AD142" s="318"/>
      <c r="AE142" s="318"/>
      <c r="AF142" s="318"/>
      <c r="AG142" s="318"/>
      <c r="AH142" s="318"/>
      <c r="AI142" s="318"/>
      <c r="AJ142" s="199">
        <f t="shared" si="249"/>
        <v>1</v>
      </c>
      <c r="AK142" s="831">
        <v>949560</v>
      </c>
      <c r="AL142" s="1053"/>
      <c r="AM142" s="1052"/>
      <c r="AN142" s="1052"/>
      <c r="AO142" s="184"/>
      <c r="AP142" s="318">
        <f t="shared" si="250"/>
        <v>8016</v>
      </c>
      <c r="AQ142" s="318">
        <f t="shared" si="251"/>
        <v>744</v>
      </c>
      <c r="AR142" s="318">
        <f t="shared" si="252"/>
        <v>8760</v>
      </c>
      <c r="AS142" s="1112"/>
      <c r="AT142" s="836">
        <v>108</v>
      </c>
      <c r="AU142" s="1114"/>
      <c r="AV142" s="836">
        <f t="shared" si="253"/>
        <v>946080</v>
      </c>
      <c r="AW142" s="1096"/>
      <c r="AX142" s="1096"/>
      <c r="AY142" s="1096"/>
      <c r="AZ142" s="1104"/>
      <c r="BA142" s="1103"/>
      <c r="BB142" s="959"/>
      <c r="BC142" s="839"/>
      <c r="BD142" s="839"/>
      <c r="BE142" s="839"/>
      <c r="BF142" s="839"/>
      <c r="BG142" s="839"/>
      <c r="BH142" s="839"/>
    </row>
    <row r="143" spans="1:62" s="183" customFormat="1" ht="18.75" customHeight="1" x14ac:dyDescent="0.2">
      <c r="A143" s="1041"/>
      <c r="B143" s="1041"/>
      <c r="C143" s="1042"/>
      <c r="D143" s="737" t="s">
        <v>342</v>
      </c>
      <c r="E143" s="659" t="s">
        <v>185</v>
      </c>
      <c r="F143" s="199">
        <v>1</v>
      </c>
      <c r="G143" s="199">
        <v>71700</v>
      </c>
      <c r="H143" s="658">
        <v>1.04</v>
      </c>
      <c r="I143" s="198">
        <v>74570</v>
      </c>
      <c r="J143" s="671">
        <v>1.0403</v>
      </c>
      <c r="K143" s="200">
        <v>77580</v>
      </c>
      <c r="L143" s="673">
        <v>1.02</v>
      </c>
      <c r="M143" s="200">
        <v>79130</v>
      </c>
      <c r="N143" s="185">
        <v>949560</v>
      </c>
      <c r="O143" s="315"/>
      <c r="P143" s="311"/>
      <c r="Q143" s="199"/>
      <c r="R143" s="658"/>
      <c r="S143" s="199"/>
      <c r="T143" s="658"/>
      <c r="U143" s="200"/>
      <c r="V143" s="200"/>
      <c r="W143" s="200"/>
      <c r="X143" s="315"/>
      <c r="Y143" s="185"/>
      <c r="Z143" s="318"/>
      <c r="AA143" s="318"/>
      <c r="AB143" s="318"/>
      <c r="AC143" s="318"/>
      <c r="AD143" s="318"/>
      <c r="AE143" s="318"/>
      <c r="AF143" s="318"/>
      <c r="AG143" s="318"/>
      <c r="AH143" s="318"/>
      <c r="AI143" s="318"/>
      <c r="AJ143" s="199">
        <f t="shared" si="249"/>
        <v>1</v>
      </c>
      <c r="AK143" s="831">
        <v>949560</v>
      </c>
      <c r="AL143" s="1053"/>
      <c r="AM143" s="1052"/>
      <c r="AN143" s="1052"/>
      <c r="AO143" s="184"/>
      <c r="AP143" s="318">
        <f t="shared" si="250"/>
        <v>8016</v>
      </c>
      <c r="AQ143" s="318">
        <f t="shared" si="251"/>
        <v>744</v>
      </c>
      <c r="AR143" s="318">
        <f t="shared" si="252"/>
        <v>8760</v>
      </c>
      <c r="AS143" s="1112"/>
      <c r="AT143" s="836">
        <v>108</v>
      </c>
      <c r="AU143" s="1114"/>
      <c r="AV143" s="836">
        <f t="shared" si="253"/>
        <v>946080</v>
      </c>
      <c r="AW143" s="1096"/>
      <c r="AX143" s="1096"/>
      <c r="AY143" s="1096"/>
      <c r="AZ143" s="1104"/>
      <c r="BA143" s="1103"/>
      <c r="BB143" s="959"/>
      <c r="BC143" s="839"/>
      <c r="BD143" s="839"/>
      <c r="BE143" s="839"/>
      <c r="BF143" s="839"/>
      <c r="BG143" s="839"/>
      <c r="BH143" s="839"/>
    </row>
    <row r="144" spans="1:62" s="183" customFormat="1" ht="18.75" customHeight="1" x14ac:dyDescent="0.2">
      <c r="A144" s="1041"/>
      <c r="B144" s="1041"/>
      <c r="C144" s="1042"/>
      <c r="D144" s="737" t="s">
        <v>343</v>
      </c>
      <c r="E144" s="659" t="s">
        <v>185</v>
      </c>
      <c r="F144" s="199">
        <v>1</v>
      </c>
      <c r="G144" s="199">
        <v>71700</v>
      </c>
      <c r="H144" s="658">
        <v>1.04</v>
      </c>
      <c r="I144" s="198">
        <v>74570</v>
      </c>
      <c r="J144" s="671">
        <v>1.0403</v>
      </c>
      <c r="K144" s="200">
        <v>77580</v>
      </c>
      <c r="L144" s="673">
        <v>1.02</v>
      </c>
      <c r="M144" s="200">
        <v>79130</v>
      </c>
      <c r="N144" s="185">
        <v>949560</v>
      </c>
      <c r="O144" s="315"/>
      <c r="P144" s="311"/>
      <c r="Q144" s="199"/>
      <c r="R144" s="658"/>
      <c r="S144" s="199"/>
      <c r="T144" s="658"/>
      <c r="U144" s="200"/>
      <c r="V144" s="200"/>
      <c r="W144" s="200"/>
      <c r="X144" s="315"/>
      <c r="Y144" s="185"/>
      <c r="Z144" s="318"/>
      <c r="AA144" s="318"/>
      <c r="AB144" s="318"/>
      <c r="AC144" s="318"/>
      <c r="AD144" s="318"/>
      <c r="AE144" s="318"/>
      <c r="AF144" s="318"/>
      <c r="AG144" s="318"/>
      <c r="AH144" s="318"/>
      <c r="AI144" s="318"/>
      <c r="AJ144" s="199">
        <f t="shared" si="249"/>
        <v>1</v>
      </c>
      <c r="AK144" s="831">
        <v>949560</v>
      </c>
      <c r="AL144" s="1053"/>
      <c r="AM144" s="1052"/>
      <c r="AN144" s="1052"/>
      <c r="AO144" s="184"/>
      <c r="AP144" s="318">
        <f t="shared" si="250"/>
        <v>8016</v>
      </c>
      <c r="AQ144" s="318">
        <f t="shared" si="251"/>
        <v>744</v>
      </c>
      <c r="AR144" s="318">
        <f t="shared" si="252"/>
        <v>8760</v>
      </c>
      <c r="AS144" s="1112"/>
      <c r="AT144" s="836">
        <v>108</v>
      </c>
      <c r="AU144" s="1114"/>
      <c r="AV144" s="836">
        <f t="shared" si="253"/>
        <v>946080</v>
      </c>
      <c r="AW144" s="1096"/>
      <c r="AX144" s="1096"/>
      <c r="AY144" s="1096"/>
      <c r="AZ144" s="1104"/>
      <c r="BA144" s="1103"/>
      <c r="BB144" s="959"/>
      <c r="BC144" s="839"/>
      <c r="BD144" s="839"/>
      <c r="BE144" s="839"/>
      <c r="BF144" s="839"/>
      <c r="BG144" s="839"/>
      <c r="BH144" s="839"/>
    </row>
    <row r="145" spans="1:61" s="183" customFormat="1" ht="18.75" customHeight="1" x14ac:dyDescent="0.2">
      <c r="A145" s="1041"/>
      <c r="B145" s="1041"/>
      <c r="C145" s="1042"/>
      <c r="D145" s="737" t="s">
        <v>344</v>
      </c>
      <c r="E145" s="659" t="s">
        <v>185</v>
      </c>
      <c r="F145" s="199">
        <v>1</v>
      </c>
      <c r="G145" s="199">
        <v>71700</v>
      </c>
      <c r="H145" s="658">
        <v>1.04</v>
      </c>
      <c r="I145" s="198">
        <v>74570</v>
      </c>
      <c r="J145" s="671">
        <v>1.0403</v>
      </c>
      <c r="K145" s="200">
        <v>77580</v>
      </c>
      <c r="L145" s="673">
        <v>1.02</v>
      </c>
      <c r="M145" s="200">
        <v>79130</v>
      </c>
      <c r="N145" s="185">
        <v>949560</v>
      </c>
      <c r="O145" s="315"/>
      <c r="P145" s="311"/>
      <c r="Q145" s="199"/>
      <c r="R145" s="658"/>
      <c r="S145" s="199"/>
      <c r="T145" s="658"/>
      <c r="U145" s="200"/>
      <c r="V145" s="200"/>
      <c r="W145" s="200"/>
      <c r="X145" s="315"/>
      <c r="Y145" s="185"/>
      <c r="Z145" s="318"/>
      <c r="AA145" s="318"/>
      <c r="AB145" s="318"/>
      <c r="AC145" s="318"/>
      <c r="AD145" s="318"/>
      <c r="AE145" s="318"/>
      <c r="AF145" s="318"/>
      <c r="AG145" s="318"/>
      <c r="AH145" s="318"/>
      <c r="AI145" s="318"/>
      <c r="AJ145" s="199">
        <f t="shared" si="249"/>
        <v>1</v>
      </c>
      <c r="AK145" s="831">
        <v>949560</v>
      </c>
      <c r="AL145" s="1053"/>
      <c r="AM145" s="1052"/>
      <c r="AN145" s="1052"/>
      <c r="AO145" s="184"/>
      <c r="AP145" s="318">
        <f t="shared" si="250"/>
        <v>8016</v>
      </c>
      <c r="AQ145" s="318">
        <f t="shared" si="251"/>
        <v>744</v>
      </c>
      <c r="AR145" s="318">
        <f t="shared" si="252"/>
        <v>8760</v>
      </c>
      <c r="AS145" s="1112"/>
      <c r="AT145" s="836">
        <v>108</v>
      </c>
      <c r="AU145" s="1114"/>
      <c r="AV145" s="836">
        <f t="shared" si="253"/>
        <v>946080</v>
      </c>
      <c r="AW145" s="1096"/>
      <c r="AX145" s="1096"/>
      <c r="AY145" s="1096"/>
      <c r="AZ145" s="1104"/>
      <c r="BA145" s="1103"/>
      <c r="BB145" s="959"/>
      <c r="BC145" s="839"/>
      <c r="BD145" s="839"/>
      <c r="BE145" s="839"/>
      <c r="BF145" s="839"/>
      <c r="BG145" s="839"/>
      <c r="BH145" s="839"/>
    </row>
    <row r="146" spans="1:61" s="183" customFormat="1" ht="18.75" customHeight="1" x14ac:dyDescent="0.2">
      <c r="A146" s="1041"/>
      <c r="B146" s="1041"/>
      <c r="C146" s="1042"/>
      <c r="D146" s="737" t="s">
        <v>345</v>
      </c>
      <c r="E146" s="659" t="s">
        <v>185</v>
      </c>
      <c r="F146" s="199">
        <v>1</v>
      </c>
      <c r="G146" s="199">
        <v>71700</v>
      </c>
      <c r="H146" s="658">
        <v>1.04</v>
      </c>
      <c r="I146" s="198">
        <v>74570</v>
      </c>
      <c r="J146" s="671">
        <v>1.0403</v>
      </c>
      <c r="K146" s="200">
        <v>77580</v>
      </c>
      <c r="L146" s="673">
        <v>1.02</v>
      </c>
      <c r="M146" s="200">
        <v>79130</v>
      </c>
      <c r="N146" s="185">
        <v>949560</v>
      </c>
      <c r="O146" s="315"/>
      <c r="P146" s="311"/>
      <c r="Q146" s="199"/>
      <c r="R146" s="658"/>
      <c r="S146" s="199"/>
      <c r="T146" s="658"/>
      <c r="U146" s="200"/>
      <c r="V146" s="200"/>
      <c r="W146" s="200"/>
      <c r="X146" s="315"/>
      <c r="Y146" s="185"/>
      <c r="Z146" s="318"/>
      <c r="AA146" s="318"/>
      <c r="AB146" s="318"/>
      <c r="AC146" s="318"/>
      <c r="AD146" s="318"/>
      <c r="AE146" s="318"/>
      <c r="AF146" s="318"/>
      <c r="AG146" s="318"/>
      <c r="AH146" s="318"/>
      <c r="AI146" s="318"/>
      <c r="AJ146" s="199">
        <f t="shared" si="249"/>
        <v>1</v>
      </c>
      <c r="AK146" s="831">
        <v>949560</v>
      </c>
      <c r="AL146" s="1053"/>
      <c r="AM146" s="1052"/>
      <c r="AN146" s="1052"/>
      <c r="AO146" s="184"/>
      <c r="AP146" s="318">
        <f t="shared" si="250"/>
        <v>8016</v>
      </c>
      <c r="AQ146" s="318">
        <f t="shared" si="251"/>
        <v>744</v>
      </c>
      <c r="AR146" s="318">
        <f t="shared" si="252"/>
        <v>8760</v>
      </c>
      <c r="AS146" s="1112"/>
      <c r="AT146" s="836">
        <v>108</v>
      </c>
      <c r="AU146" s="1114"/>
      <c r="AV146" s="836">
        <f t="shared" si="253"/>
        <v>946080</v>
      </c>
      <c r="AW146" s="1096"/>
      <c r="AX146" s="1096"/>
      <c r="AY146" s="1096"/>
      <c r="AZ146" s="1104"/>
      <c r="BA146" s="1103"/>
      <c r="BB146" s="959"/>
      <c r="BC146" s="839"/>
      <c r="BD146" s="839"/>
      <c r="BE146" s="839"/>
      <c r="BF146" s="839"/>
      <c r="BG146" s="839"/>
      <c r="BH146" s="839"/>
    </row>
    <row r="147" spans="1:61" s="183" customFormat="1" ht="18.75" customHeight="1" x14ac:dyDescent="0.2">
      <c r="A147" s="1041"/>
      <c r="B147" s="1041"/>
      <c r="C147" s="1042"/>
      <c r="D147" s="737" t="s">
        <v>346</v>
      </c>
      <c r="E147" s="318"/>
      <c r="F147" s="199"/>
      <c r="G147" s="199"/>
      <c r="H147" s="659"/>
      <c r="I147" s="199"/>
      <c r="J147" s="674"/>
      <c r="K147" s="200"/>
      <c r="L147" s="673"/>
      <c r="M147" s="200"/>
      <c r="N147" s="185"/>
      <c r="O147" s="658" t="s">
        <v>198</v>
      </c>
      <c r="P147" s="311">
        <v>1</v>
      </c>
      <c r="Q147" s="199">
        <v>93700</v>
      </c>
      <c r="R147" s="658">
        <v>1.04</v>
      </c>
      <c r="S147" s="199">
        <v>97450</v>
      </c>
      <c r="T147" s="658">
        <v>1.0403</v>
      </c>
      <c r="U147" s="200">
        <v>101380</v>
      </c>
      <c r="V147" s="673">
        <v>1.02</v>
      </c>
      <c r="W147" s="200">
        <v>103410</v>
      </c>
      <c r="X147" s="315">
        <v>1.1000000000000001</v>
      </c>
      <c r="Y147" s="185">
        <v>1365012.0000000002</v>
      </c>
      <c r="Z147" s="318"/>
      <c r="AA147" s="318"/>
      <c r="AB147" s="318"/>
      <c r="AC147" s="318"/>
      <c r="AD147" s="318"/>
      <c r="AE147" s="318"/>
      <c r="AF147" s="318"/>
      <c r="AG147" s="318"/>
      <c r="AH147" s="318"/>
      <c r="AI147" s="318"/>
      <c r="AJ147" s="199">
        <f t="shared" si="249"/>
        <v>1</v>
      </c>
      <c r="AK147" s="831">
        <v>1365012.0000000002</v>
      </c>
      <c r="AL147" s="1053"/>
      <c r="AM147" s="1052"/>
      <c r="AN147" s="1052"/>
      <c r="AO147" s="184"/>
      <c r="AP147" s="318">
        <f t="shared" si="250"/>
        <v>8016</v>
      </c>
      <c r="AQ147" s="318">
        <f t="shared" si="251"/>
        <v>744</v>
      </c>
      <c r="AR147" s="318">
        <f t="shared" si="252"/>
        <v>8760</v>
      </c>
      <c r="AS147" s="1112"/>
      <c r="AT147" s="836">
        <v>155</v>
      </c>
      <c r="AU147" s="1114"/>
      <c r="AV147" s="836">
        <f t="shared" si="253"/>
        <v>1357800</v>
      </c>
      <c r="AW147" s="1096"/>
      <c r="AX147" s="1096"/>
      <c r="AY147" s="1096"/>
      <c r="AZ147" s="1104"/>
      <c r="BA147" s="1103"/>
      <c r="BB147" s="959"/>
      <c r="BC147" s="839"/>
      <c r="BD147" s="839"/>
      <c r="BE147" s="839"/>
      <c r="BF147" s="839"/>
      <c r="BG147" s="839"/>
      <c r="BH147" s="839"/>
    </row>
    <row r="148" spans="1:61" s="183" customFormat="1" ht="18.75" customHeight="1" x14ac:dyDescent="0.2">
      <c r="A148" s="1041"/>
      <c r="B148" s="1041"/>
      <c r="C148" s="1042"/>
      <c r="D148" s="737" t="s">
        <v>347</v>
      </c>
      <c r="E148" s="318"/>
      <c r="F148" s="199"/>
      <c r="G148" s="199"/>
      <c r="H148" s="659"/>
      <c r="I148" s="199"/>
      <c r="J148" s="674"/>
      <c r="K148" s="200"/>
      <c r="L148" s="673"/>
      <c r="M148" s="200"/>
      <c r="N148" s="185"/>
      <c r="O148" s="658" t="s">
        <v>319</v>
      </c>
      <c r="P148" s="311">
        <v>0.5</v>
      </c>
      <c r="Q148" s="199">
        <v>88200</v>
      </c>
      <c r="R148" s="658">
        <v>1.04</v>
      </c>
      <c r="S148" s="199">
        <v>91730</v>
      </c>
      <c r="T148" s="658">
        <v>1.0403</v>
      </c>
      <c r="U148" s="200">
        <v>95430</v>
      </c>
      <c r="V148" s="673">
        <v>1.02</v>
      </c>
      <c r="W148" s="200">
        <v>97340</v>
      </c>
      <c r="X148" s="315">
        <v>1</v>
      </c>
      <c r="Y148" s="185">
        <v>584040</v>
      </c>
      <c r="Z148" s="318"/>
      <c r="AA148" s="318"/>
      <c r="AB148" s="318"/>
      <c r="AC148" s="318"/>
      <c r="AD148" s="318"/>
      <c r="AE148" s="318"/>
      <c r="AF148" s="318"/>
      <c r="AG148" s="318"/>
      <c r="AH148" s="318"/>
      <c r="AI148" s="318"/>
      <c r="AJ148" s="731">
        <f t="shared" si="249"/>
        <v>0.5</v>
      </c>
      <c r="AK148" s="831">
        <v>584040</v>
      </c>
      <c r="AL148" s="1053"/>
      <c r="AM148" s="1052"/>
      <c r="AN148" s="1052"/>
      <c r="AO148" s="184"/>
      <c r="AP148" s="874">
        <f>12*(365-31)*1</f>
        <v>4008</v>
      </c>
      <c r="AQ148" s="874">
        <f>12*31</f>
        <v>372</v>
      </c>
      <c r="AR148" s="874">
        <f t="shared" si="252"/>
        <v>4380</v>
      </c>
      <c r="AS148" s="1112"/>
      <c r="AT148" s="836">
        <v>133</v>
      </c>
      <c r="AU148" s="1115"/>
      <c r="AV148" s="836">
        <f t="shared" si="253"/>
        <v>582540</v>
      </c>
      <c r="AW148" s="1096"/>
      <c r="AX148" s="1096"/>
      <c r="AY148" s="1096"/>
      <c r="AZ148" s="1104"/>
      <c r="BA148" s="1103"/>
      <c r="BB148" s="959"/>
      <c r="BC148" s="839"/>
      <c r="BD148" s="839"/>
      <c r="BE148" s="839"/>
      <c r="BF148" s="839"/>
      <c r="BG148" s="839"/>
      <c r="BH148" s="839"/>
    </row>
    <row r="149" spans="1:61" s="184" customFormat="1" ht="18.75" customHeight="1" x14ac:dyDescent="0.2">
      <c r="A149" s="1041">
        <v>39</v>
      </c>
      <c r="B149" s="1041">
        <v>8</v>
      </c>
      <c r="C149" s="1042" t="s">
        <v>269</v>
      </c>
      <c r="D149" s="737" t="s">
        <v>348</v>
      </c>
      <c r="E149" s="658" t="s">
        <v>185</v>
      </c>
      <c r="F149" s="311">
        <v>1</v>
      </c>
      <c r="G149" s="198">
        <v>71700</v>
      </c>
      <c r="H149" s="658">
        <v>1.04</v>
      </c>
      <c r="I149" s="198">
        <v>74570</v>
      </c>
      <c r="J149" s="671">
        <v>1.0403</v>
      </c>
      <c r="K149" s="200">
        <v>77580</v>
      </c>
      <c r="L149" s="673">
        <v>1.02</v>
      </c>
      <c r="M149" s="200">
        <v>79130</v>
      </c>
      <c r="N149" s="185">
        <v>949560</v>
      </c>
      <c r="O149" s="710"/>
      <c r="P149" s="311"/>
      <c r="Q149" s="311"/>
      <c r="R149" s="658"/>
      <c r="S149" s="311"/>
      <c r="T149" s="658"/>
      <c r="U149" s="200"/>
      <c r="V149" s="200"/>
      <c r="W149" s="200"/>
      <c r="X149" s="315"/>
      <c r="Y149" s="185"/>
      <c r="Z149" s="311"/>
      <c r="AA149" s="311"/>
      <c r="AB149" s="311"/>
      <c r="AC149" s="311"/>
      <c r="AD149" s="311"/>
      <c r="AE149" s="311"/>
      <c r="AF149" s="315"/>
      <c r="AG149" s="315"/>
      <c r="AH149" s="315"/>
      <c r="AI149" s="199"/>
      <c r="AJ149" s="199">
        <f t="shared" si="249"/>
        <v>1</v>
      </c>
      <c r="AK149" s="831">
        <v>949560</v>
      </c>
      <c r="AL149" s="1053">
        <f>AK149+AK150+AK151+AK152+AK153+AK154+AK155+AK156</f>
        <v>7573572</v>
      </c>
      <c r="AM149" s="1052">
        <f>AL149/12*11</f>
        <v>6942441</v>
      </c>
      <c r="AN149" s="1052">
        <f>AL149/12</f>
        <v>631131</v>
      </c>
      <c r="AP149" s="318">
        <f t="shared" ref="AP149:AP154" si="257">24*(365-31)*1</f>
        <v>8016</v>
      </c>
      <c r="AQ149" s="318">
        <f t="shared" ref="AQ149:AQ154" si="258">24*31</f>
        <v>744</v>
      </c>
      <c r="AR149" s="318">
        <f t="shared" ref="AR149:AR155" si="259">SUM(AP149:AQ149)</f>
        <v>8760</v>
      </c>
      <c r="AS149" s="1112">
        <f>AR149+AR150+AR151+AR152+AR153+AR154+AR155+AR156</f>
        <v>65700</v>
      </c>
      <c r="AT149" s="836">
        <v>108</v>
      </c>
      <c r="AU149" s="1113">
        <v>115</v>
      </c>
      <c r="AV149" s="836">
        <f t="shared" si="253"/>
        <v>946080</v>
      </c>
      <c r="AW149" s="1096">
        <f>AS149*AU149</f>
        <v>7555500</v>
      </c>
      <c r="AX149" s="1096">
        <f>AU149*(AP149+AP150+AP151+AP152+AP153+AP154+AP155+AP156)</f>
        <v>6913800</v>
      </c>
      <c r="AY149" s="1096">
        <f>AW149-AX149</f>
        <v>641700</v>
      </c>
      <c r="AZ149" s="1104">
        <f>AW149-AX149-AY149</f>
        <v>0</v>
      </c>
      <c r="BA149" s="1103">
        <f>AW149-AL149</f>
        <v>-18072</v>
      </c>
      <c r="BB149" s="959">
        <v>8</v>
      </c>
      <c r="BC149" s="617">
        <f>AS149*AU149</f>
        <v>7555500</v>
      </c>
      <c r="BD149" s="617">
        <f>(AP149+AP150+AP151+AP152+AP153+AP154+AP155+AP156)*AU149</f>
        <v>6913800</v>
      </c>
      <c r="BE149" s="617">
        <f>BC149-BD149</f>
        <v>641700</v>
      </c>
      <c r="BF149" s="839"/>
      <c r="BG149" s="838">
        <f t="shared" ref="BG149" si="260">BC149-AW149</f>
        <v>0</v>
      </c>
      <c r="BH149" s="838">
        <f t="shared" ref="BH149" si="261">BD149-AX149</f>
        <v>0</v>
      </c>
      <c r="BI149" s="838">
        <f t="shared" ref="BI149" si="262">BE149-AY149</f>
        <v>0</v>
      </c>
    </row>
    <row r="150" spans="1:61" s="184" customFormat="1" ht="18.75" customHeight="1" x14ac:dyDescent="0.2">
      <c r="A150" s="1041"/>
      <c r="B150" s="1041"/>
      <c r="C150" s="1042"/>
      <c r="D150" s="737" t="s">
        <v>349</v>
      </c>
      <c r="E150" s="658" t="s">
        <v>185</v>
      </c>
      <c r="F150" s="311">
        <v>1</v>
      </c>
      <c r="G150" s="198">
        <v>71700</v>
      </c>
      <c r="H150" s="658">
        <v>1.04</v>
      </c>
      <c r="I150" s="198">
        <v>74570</v>
      </c>
      <c r="J150" s="671">
        <v>1.0403</v>
      </c>
      <c r="K150" s="200">
        <v>77580</v>
      </c>
      <c r="L150" s="673">
        <v>1.02</v>
      </c>
      <c r="M150" s="200">
        <v>79130</v>
      </c>
      <c r="N150" s="185">
        <v>949560</v>
      </c>
      <c r="O150" s="710"/>
      <c r="P150" s="311"/>
      <c r="Q150" s="311"/>
      <c r="R150" s="658"/>
      <c r="S150" s="311"/>
      <c r="T150" s="658"/>
      <c r="U150" s="200"/>
      <c r="V150" s="200"/>
      <c r="W150" s="200"/>
      <c r="X150" s="315"/>
      <c r="Y150" s="185"/>
      <c r="Z150" s="311"/>
      <c r="AA150" s="311"/>
      <c r="AB150" s="311"/>
      <c r="AC150" s="311"/>
      <c r="AD150" s="311"/>
      <c r="AE150" s="311"/>
      <c r="AF150" s="315"/>
      <c r="AG150" s="315"/>
      <c r="AH150" s="315"/>
      <c r="AI150" s="199"/>
      <c r="AJ150" s="199">
        <f t="shared" si="249"/>
        <v>1</v>
      </c>
      <c r="AK150" s="831">
        <v>949560</v>
      </c>
      <c r="AL150" s="1053"/>
      <c r="AM150" s="1052"/>
      <c r="AN150" s="1052"/>
      <c r="AP150" s="318">
        <f t="shared" si="257"/>
        <v>8016</v>
      </c>
      <c r="AQ150" s="318">
        <f t="shared" si="258"/>
        <v>744</v>
      </c>
      <c r="AR150" s="318">
        <f t="shared" si="259"/>
        <v>8760</v>
      </c>
      <c r="AS150" s="1112"/>
      <c r="AT150" s="836">
        <v>108</v>
      </c>
      <c r="AU150" s="1114"/>
      <c r="AV150" s="836">
        <f t="shared" si="253"/>
        <v>946080</v>
      </c>
      <c r="AW150" s="1096"/>
      <c r="AX150" s="1096"/>
      <c r="AY150" s="1096"/>
      <c r="AZ150" s="1104"/>
      <c r="BA150" s="1103"/>
      <c r="BB150" s="959"/>
      <c r="BC150" s="838"/>
      <c r="BD150" s="838"/>
      <c r="BE150" s="838"/>
      <c r="BF150" s="838"/>
      <c r="BG150" s="838"/>
      <c r="BH150" s="838"/>
    </row>
    <row r="151" spans="1:61" s="184" customFormat="1" ht="18.75" customHeight="1" x14ac:dyDescent="0.2">
      <c r="A151" s="1041"/>
      <c r="B151" s="1041"/>
      <c r="C151" s="1042"/>
      <c r="D151" s="737" t="s">
        <v>350</v>
      </c>
      <c r="E151" s="658" t="s">
        <v>185</v>
      </c>
      <c r="F151" s="311">
        <v>1</v>
      </c>
      <c r="G151" s="198">
        <v>71700</v>
      </c>
      <c r="H151" s="658">
        <v>1.04</v>
      </c>
      <c r="I151" s="198">
        <v>74570</v>
      </c>
      <c r="J151" s="671">
        <v>1.0403</v>
      </c>
      <c r="K151" s="200">
        <v>77580</v>
      </c>
      <c r="L151" s="673">
        <v>1.02</v>
      </c>
      <c r="M151" s="200">
        <v>79130</v>
      </c>
      <c r="N151" s="185">
        <v>949560</v>
      </c>
      <c r="O151" s="710"/>
      <c r="P151" s="311"/>
      <c r="Q151" s="311"/>
      <c r="R151" s="658"/>
      <c r="S151" s="311"/>
      <c r="T151" s="658"/>
      <c r="U151" s="200"/>
      <c r="V151" s="200"/>
      <c r="W151" s="200"/>
      <c r="X151" s="315"/>
      <c r="Y151" s="185"/>
      <c r="Z151" s="311"/>
      <c r="AA151" s="311"/>
      <c r="AB151" s="311"/>
      <c r="AC151" s="311"/>
      <c r="AD151" s="311"/>
      <c r="AE151" s="311"/>
      <c r="AF151" s="315"/>
      <c r="AG151" s="315"/>
      <c r="AH151" s="315"/>
      <c r="AI151" s="199"/>
      <c r="AJ151" s="199">
        <f t="shared" si="249"/>
        <v>1</v>
      </c>
      <c r="AK151" s="831">
        <v>949560</v>
      </c>
      <c r="AL151" s="1053"/>
      <c r="AM151" s="1052"/>
      <c r="AN151" s="1052"/>
      <c r="AP151" s="318">
        <f t="shared" si="257"/>
        <v>8016</v>
      </c>
      <c r="AQ151" s="318">
        <f t="shared" si="258"/>
        <v>744</v>
      </c>
      <c r="AR151" s="318">
        <f t="shared" si="259"/>
        <v>8760</v>
      </c>
      <c r="AS151" s="1112"/>
      <c r="AT151" s="836">
        <v>108</v>
      </c>
      <c r="AU151" s="1114"/>
      <c r="AV151" s="836">
        <f t="shared" si="253"/>
        <v>946080</v>
      </c>
      <c r="AW151" s="1096"/>
      <c r="AX151" s="1096"/>
      <c r="AY151" s="1096"/>
      <c r="AZ151" s="1104"/>
      <c r="BA151" s="1103"/>
      <c r="BB151" s="959"/>
      <c r="BC151" s="838"/>
      <c r="BD151" s="838"/>
      <c r="BE151" s="838"/>
      <c r="BF151" s="838"/>
      <c r="BG151" s="838"/>
      <c r="BH151" s="838"/>
    </row>
    <row r="152" spans="1:61" s="184" customFormat="1" ht="18.75" customHeight="1" x14ac:dyDescent="0.2">
      <c r="A152" s="1041"/>
      <c r="B152" s="1041"/>
      <c r="C152" s="1042"/>
      <c r="D152" s="737" t="s">
        <v>353</v>
      </c>
      <c r="E152" s="658" t="s">
        <v>185</v>
      </c>
      <c r="F152" s="311">
        <v>1</v>
      </c>
      <c r="G152" s="198">
        <v>71700</v>
      </c>
      <c r="H152" s="658">
        <v>1.04</v>
      </c>
      <c r="I152" s="198">
        <v>74570</v>
      </c>
      <c r="J152" s="671">
        <v>1.0403</v>
      </c>
      <c r="K152" s="200">
        <v>77580</v>
      </c>
      <c r="L152" s="673">
        <v>1.02</v>
      </c>
      <c r="M152" s="200">
        <v>79130</v>
      </c>
      <c r="N152" s="185">
        <v>949560</v>
      </c>
      <c r="O152" s="710"/>
      <c r="P152" s="311"/>
      <c r="Q152" s="311"/>
      <c r="R152" s="658"/>
      <c r="S152" s="311"/>
      <c r="T152" s="658"/>
      <c r="U152" s="200"/>
      <c r="V152" s="200"/>
      <c r="W152" s="200"/>
      <c r="X152" s="315"/>
      <c r="Y152" s="185"/>
      <c r="Z152" s="311"/>
      <c r="AA152" s="311"/>
      <c r="AB152" s="311"/>
      <c r="AC152" s="311"/>
      <c r="AD152" s="311"/>
      <c r="AE152" s="311"/>
      <c r="AF152" s="315"/>
      <c r="AG152" s="315"/>
      <c r="AH152" s="315"/>
      <c r="AI152" s="199"/>
      <c r="AJ152" s="199">
        <f t="shared" si="249"/>
        <v>1</v>
      </c>
      <c r="AK152" s="831">
        <v>949560</v>
      </c>
      <c r="AL152" s="1053"/>
      <c r="AM152" s="1052"/>
      <c r="AN152" s="1052"/>
      <c r="AP152" s="318">
        <f t="shared" si="257"/>
        <v>8016</v>
      </c>
      <c r="AQ152" s="318">
        <f t="shared" si="258"/>
        <v>744</v>
      </c>
      <c r="AR152" s="318">
        <f t="shared" si="259"/>
        <v>8760</v>
      </c>
      <c r="AS152" s="1112"/>
      <c r="AT152" s="836">
        <v>108</v>
      </c>
      <c r="AU152" s="1114"/>
      <c r="AV152" s="836">
        <f t="shared" si="253"/>
        <v>946080</v>
      </c>
      <c r="AW152" s="1096"/>
      <c r="AX152" s="1096"/>
      <c r="AY152" s="1096"/>
      <c r="AZ152" s="1104"/>
      <c r="BA152" s="1103"/>
      <c r="BB152" s="959"/>
      <c r="BC152" s="838"/>
      <c r="BD152" s="838"/>
      <c r="BE152" s="838"/>
      <c r="BF152" s="838"/>
      <c r="BG152" s="838"/>
      <c r="BH152" s="838"/>
    </row>
    <row r="153" spans="1:61" s="184" customFormat="1" ht="18.75" customHeight="1" x14ac:dyDescent="0.2">
      <c r="A153" s="1041"/>
      <c r="B153" s="1041"/>
      <c r="C153" s="1042"/>
      <c r="D153" s="737" t="s">
        <v>354</v>
      </c>
      <c r="E153" s="658" t="s">
        <v>185</v>
      </c>
      <c r="F153" s="311">
        <v>1</v>
      </c>
      <c r="G153" s="198">
        <v>71700</v>
      </c>
      <c r="H153" s="658">
        <v>1.04</v>
      </c>
      <c r="I153" s="198">
        <v>74570</v>
      </c>
      <c r="J153" s="671">
        <v>1.0403</v>
      </c>
      <c r="K153" s="200">
        <v>77580</v>
      </c>
      <c r="L153" s="673">
        <v>1.02</v>
      </c>
      <c r="M153" s="200">
        <v>79130</v>
      </c>
      <c r="N153" s="185">
        <v>949560</v>
      </c>
      <c r="O153" s="710"/>
      <c r="P153" s="311"/>
      <c r="Q153" s="311"/>
      <c r="R153" s="658"/>
      <c r="S153" s="311"/>
      <c r="T153" s="658"/>
      <c r="U153" s="200"/>
      <c r="V153" s="200"/>
      <c r="W153" s="200"/>
      <c r="X153" s="315"/>
      <c r="Y153" s="185"/>
      <c r="Z153" s="311"/>
      <c r="AA153" s="311"/>
      <c r="AB153" s="311"/>
      <c r="AC153" s="311"/>
      <c r="AD153" s="311"/>
      <c r="AE153" s="311"/>
      <c r="AF153" s="315"/>
      <c r="AG153" s="315"/>
      <c r="AH153" s="315"/>
      <c r="AI153" s="199"/>
      <c r="AJ153" s="199">
        <f t="shared" si="249"/>
        <v>1</v>
      </c>
      <c r="AK153" s="831">
        <v>949560</v>
      </c>
      <c r="AL153" s="1053"/>
      <c r="AM153" s="1052"/>
      <c r="AN153" s="1052"/>
      <c r="AP153" s="318">
        <f t="shared" si="257"/>
        <v>8016</v>
      </c>
      <c r="AQ153" s="318">
        <f t="shared" si="258"/>
        <v>744</v>
      </c>
      <c r="AR153" s="318">
        <f t="shared" si="259"/>
        <v>8760</v>
      </c>
      <c r="AS153" s="1112"/>
      <c r="AT153" s="836">
        <v>108</v>
      </c>
      <c r="AU153" s="1114"/>
      <c r="AV153" s="836">
        <f t="shared" si="253"/>
        <v>946080</v>
      </c>
      <c r="AW153" s="1096"/>
      <c r="AX153" s="1096"/>
      <c r="AY153" s="1096"/>
      <c r="AZ153" s="1104"/>
      <c r="BA153" s="1103"/>
      <c r="BB153" s="959"/>
      <c r="BC153" s="838"/>
      <c r="BD153" s="838"/>
      <c r="BE153" s="838"/>
      <c r="BF153" s="838"/>
      <c r="BG153" s="838"/>
      <c r="BH153" s="838"/>
    </row>
    <row r="154" spans="1:61" s="184" customFormat="1" ht="18.75" customHeight="1" x14ac:dyDescent="0.2">
      <c r="A154" s="1041"/>
      <c r="B154" s="1041"/>
      <c r="C154" s="1042"/>
      <c r="D154" s="737" t="s">
        <v>351</v>
      </c>
      <c r="E154" s="658" t="s">
        <v>185</v>
      </c>
      <c r="F154" s="311">
        <v>1</v>
      </c>
      <c r="G154" s="198">
        <v>71700</v>
      </c>
      <c r="H154" s="658">
        <v>1.04</v>
      </c>
      <c r="I154" s="198">
        <v>74570</v>
      </c>
      <c r="J154" s="671">
        <v>1.0403</v>
      </c>
      <c r="K154" s="200">
        <v>77580</v>
      </c>
      <c r="L154" s="673">
        <v>1.02</v>
      </c>
      <c r="M154" s="200">
        <v>79130</v>
      </c>
      <c r="N154" s="185">
        <v>949560</v>
      </c>
      <c r="O154" s="710"/>
      <c r="P154" s="311"/>
      <c r="Q154" s="311"/>
      <c r="R154" s="658"/>
      <c r="S154" s="311"/>
      <c r="T154" s="658"/>
      <c r="U154" s="200"/>
      <c r="V154" s="200"/>
      <c r="W154" s="200"/>
      <c r="X154" s="315"/>
      <c r="Y154" s="185"/>
      <c r="Z154" s="311"/>
      <c r="AA154" s="311"/>
      <c r="AB154" s="311"/>
      <c r="AC154" s="311"/>
      <c r="AD154" s="311"/>
      <c r="AE154" s="311"/>
      <c r="AF154" s="315"/>
      <c r="AG154" s="315"/>
      <c r="AH154" s="315"/>
      <c r="AI154" s="199"/>
      <c r="AJ154" s="199">
        <f t="shared" si="249"/>
        <v>1</v>
      </c>
      <c r="AK154" s="831">
        <v>949560</v>
      </c>
      <c r="AL154" s="1053"/>
      <c r="AM154" s="1052"/>
      <c r="AN154" s="1052"/>
      <c r="AP154" s="318">
        <f t="shared" si="257"/>
        <v>8016</v>
      </c>
      <c r="AQ154" s="318">
        <f t="shared" si="258"/>
        <v>744</v>
      </c>
      <c r="AR154" s="318">
        <f t="shared" si="259"/>
        <v>8760</v>
      </c>
      <c r="AS154" s="1112"/>
      <c r="AT154" s="836">
        <v>108</v>
      </c>
      <c r="AU154" s="1114"/>
      <c r="AV154" s="836">
        <f t="shared" si="253"/>
        <v>946080</v>
      </c>
      <c r="AW154" s="1096"/>
      <c r="AX154" s="1096"/>
      <c r="AY154" s="1096"/>
      <c r="AZ154" s="1104"/>
      <c r="BA154" s="1103"/>
      <c r="BB154" s="959"/>
      <c r="BC154" s="838"/>
      <c r="BD154" s="838"/>
      <c r="BE154" s="838"/>
      <c r="BF154" s="838"/>
      <c r="BG154" s="838"/>
      <c r="BH154" s="838"/>
    </row>
    <row r="155" spans="1:61" s="183" customFormat="1" ht="18.75" customHeight="1" x14ac:dyDescent="0.2">
      <c r="A155" s="1041"/>
      <c r="B155" s="1041"/>
      <c r="C155" s="1042"/>
      <c r="D155" s="737" t="s">
        <v>352</v>
      </c>
      <c r="E155" s="318"/>
      <c r="F155" s="199"/>
      <c r="G155" s="199"/>
      <c r="H155" s="658"/>
      <c r="I155" s="199"/>
      <c r="J155" s="674"/>
      <c r="K155" s="200"/>
      <c r="L155" s="673"/>
      <c r="M155" s="200"/>
      <c r="N155" s="185"/>
      <c r="O155" s="658" t="s">
        <v>328</v>
      </c>
      <c r="P155" s="311">
        <v>0.5</v>
      </c>
      <c r="Q155" s="199">
        <v>77200</v>
      </c>
      <c r="R155" s="658">
        <v>1.04</v>
      </c>
      <c r="S155" s="199">
        <v>80290</v>
      </c>
      <c r="T155" s="658">
        <v>1.0403</v>
      </c>
      <c r="U155" s="200">
        <v>83530</v>
      </c>
      <c r="V155" s="673">
        <v>1.02</v>
      </c>
      <c r="W155" s="200">
        <v>85200</v>
      </c>
      <c r="X155" s="315">
        <v>1</v>
      </c>
      <c r="Y155" s="185">
        <v>511200</v>
      </c>
      <c r="Z155" s="318"/>
      <c r="AA155" s="318"/>
      <c r="AB155" s="318"/>
      <c r="AC155" s="318"/>
      <c r="AD155" s="318"/>
      <c r="AE155" s="318"/>
      <c r="AF155" s="318"/>
      <c r="AG155" s="318"/>
      <c r="AH155" s="318"/>
      <c r="AI155" s="318"/>
      <c r="AJ155" s="731">
        <f t="shared" si="249"/>
        <v>0.5</v>
      </c>
      <c r="AK155" s="831">
        <v>511200</v>
      </c>
      <c r="AL155" s="1053"/>
      <c r="AM155" s="1052"/>
      <c r="AN155" s="1052"/>
      <c r="AO155" s="184"/>
      <c r="AP155" s="874">
        <f>12*(365-31)*1</f>
        <v>4008</v>
      </c>
      <c r="AQ155" s="874">
        <f>12*31</f>
        <v>372</v>
      </c>
      <c r="AR155" s="874">
        <f t="shared" si="259"/>
        <v>4380</v>
      </c>
      <c r="AS155" s="1112"/>
      <c r="AT155" s="836">
        <v>116</v>
      </c>
      <c r="AU155" s="1114"/>
      <c r="AV155" s="836">
        <f t="shared" si="253"/>
        <v>508080</v>
      </c>
      <c r="AW155" s="1096"/>
      <c r="AX155" s="1096"/>
      <c r="AY155" s="1096"/>
      <c r="AZ155" s="1104"/>
      <c r="BA155" s="1103"/>
      <c r="BB155" s="959"/>
      <c r="BC155" s="839"/>
      <c r="BD155" s="839"/>
      <c r="BE155" s="839"/>
      <c r="BF155" s="839"/>
      <c r="BG155" s="839"/>
      <c r="BH155" s="839"/>
    </row>
    <row r="156" spans="1:61" s="183" customFormat="1" ht="18.75" customHeight="1" x14ac:dyDescent="0.2">
      <c r="A156" s="1041"/>
      <c r="B156" s="1041"/>
      <c r="C156" s="1042"/>
      <c r="D156" s="737" t="s">
        <v>352</v>
      </c>
      <c r="E156" s="318"/>
      <c r="F156" s="199"/>
      <c r="G156" s="199"/>
      <c r="H156" s="658"/>
      <c r="I156" s="199"/>
      <c r="J156" s="674"/>
      <c r="K156" s="200"/>
      <c r="L156" s="673"/>
      <c r="M156" s="200"/>
      <c r="N156" s="185"/>
      <c r="O156" s="658" t="s">
        <v>198</v>
      </c>
      <c r="P156" s="311">
        <v>1</v>
      </c>
      <c r="Q156" s="199">
        <v>93700</v>
      </c>
      <c r="R156" s="658">
        <v>1.04</v>
      </c>
      <c r="S156" s="199">
        <v>97450</v>
      </c>
      <c r="T156" s="658">
        <v>1.0403</v>
      </c>
      <c r="U156" s="200">
        <v>101380</v>
      </c>
      <c r="V156" s="673">
        <v>1.02</v>
      </c>
      <c r="W156" s="200">
        <v>103410</v>
      </c>
      <c r="X156" s="315">
        <v>1.1000000000000001</v>
      </c>
      <c r="Y156" s="185">
        <v>1365012.0000000002</v>
      </c>
      <c r="Z156" s="318"/>
      <c r="AA156" s="318"/>
      <c r="AB156" s="318"/>
      <c r="AC156" s="318"/>
      <c r="AD156" s="318"/>
      <c r="AE156" s="318"/>
      <c r="AF156" s="318"/>
      <c r="AG156" s="318"/>
      <c r="AH156" s="318"/>
      <c r="AI156" s="318"/>
      <c r="AJ156" s="199">
        <f t="shared" si="249"/>
        <v>1</v>
      </c>
      <c r="AK156" s="831">
        <v>1365012.0000000002</v>
      </c>
      <c r="AL156" s="1053"/>
      <c r="AM156" s="1052"/>
      <c r="AN156" s="1052"/>
      <c r="AO156" s="184"/>
      <c r="AP156" s="318">
        <f t="shared" ref="AP156" si="263">24*(365-31)*1</f>
        <v>8016</v>
      </c>
      <c r="AQ156" s="318">
        <f t="shared" ref="AQ156" si="264">24*31</f>
        <v>744</v>
      </c>
      <c r="AR156" s="318">
        <f t="shared" ref="AR156:AR157" si="265">SUM(AP156:AQ156)</f>
        <v>8760</v>
      </c>
      <c r="AS156" s="1112"/>
      <c r="AT156" s="836">
        <v>155</v>
      </c>
      <c r="AU156" s="1115"/>
      <c r="AV156" s="836">
        <f t="shared" si="253"/>
        <v>1357800</v>
      </c>
      <c r="AW156" s="1096"/>
      <c r="AX156" s="1096"/>
      <c r="AY156" s="1096"/>
      <c r="AZ156" s="1104"/>
      <c r="BA156" s="1103"/>
      <c r="BB156" s="959"/>
      <c r="BC156" s="839"/>
      <c r="BD156" s="839"/>
      <c r="BE156" s="839"/>
      <c r="BF156" s="839"/>
      <c r="BG156" s="839"/>
      <c r="BH156" s="839"/>
    </row>
    <row r="157" spans="1:61" s="183" customFormat="1" ht="18.75" customHeight="1" x14ac:dyDescent="0.2">
      <c r="A157" s="1041">
        <v>40</v>
      </c>
      <c r="B157" s="1041">
        <v>9</v>
      </c>
      <c r="C157" s="1042" t="s">
        <v>240</v>
      </c>
      <c r="D157" s="737" t="s">
        <v>355</v>
      </c>
      <c r="E157" s="318"/>
      <c r="F157" s="199"/>
      <c r="G157" s="199"/>
      <c r="H157" s="659"/>
      <c r="I157" s="199"/>
      <c r="J157" s="674"/>
      <c r="K157" s="200"/>
      <c r="L157" s="673"/>
      <c r="M157" s="200"/>
      <c r="N157" s="185"/>
      <c r="O157" s="658" t="s">
        <v>328</v>
      </c>
      <c r="P157" s="311">
        <v>0.5</v>
      </c>
      <c r="Q157" s="199">
        <v>66200</v>
      </c>
      <c r="R157" s="658">
        <v>1.04</v>
      </c>
      <c r="S157" s="199">
        <v>68850</v>
      </c>
      <c r="T157" s="658">
        <v>1.0403</v>
      </c>
      <c r="U157" s="200">
        <v>83530</v>
      </c>
      <c r="V157" s="673">
        <v>1.02</v>
      </c>
      <c r="W157" s="200">
        <v>85200</v>
      </c>
      <c r="X157" s="315">
        <v>1</v>
      </c>
      <c r="Y157" s="185">
        <v>511200</v>
      </c>
      <c r="Z157" s="318"/>
      <c r="AA157" s="318"/>
      <c r="AB157" s="318"/>
      <c r="AC157" s="318"/>
      <c r="AD157" s="318"/>
      <c r="AE157" s="318"/>
      <c r="AF157" s="318"/>
      <c r="AG157" s="318"/>
      <c r="AH157" s="318"/>
      <c r="AI157" s="318"/>
      <c r="AJ157" s="731">
        <f t="shared" si="249"/>
        <v>0.5</v>
      </c>
      <c r="AK157" s="831">
        <v>511200</v>
      </c>
      <c r="AL157" s="1053">
        <f>AK157+AK158</f>
        <v>1796088.0000000002</v>
      </c>
      <c r="AM157" s="1052">
        <f>AL157/12*11</f>
        <v>1646414.0000000002</v>
      </c>
      <c r="AN157" s="1052">
        <f>AL157/12</f>
        <v>149674.00000000003</v>
      </c>
      <c r="AO157" s="184"/>
      <c r="AP157" s="874">
        <f>12*(365-31)*1</f>
        <v>4008</v>
      </c>
      <c r="AQ157" s="874">
        <f>12*31</f>
        <v>372</v>
      </c>
      <c r="AR157" s="874">
        <f t="shared" si="265"/>
        <v>4380</v>
      </c>
      <c r="AS157" s="1112">
        <f>AR157+AR158</f>
        <v>13140</v>
      </c>
      <c r="AT157" s="836">
        <v>116</v>
      </c>
      <c r="AU157" s="1102">
        <v>136</v>
      </c>
      <c r="AV157" s="836">
        <f t="shared" si="253"/>
        <v>508080</v>
      </c>
      <c r="AW157" s="1096">
        <f>AU157*AS157</f>
        <v>1787040</v>
      </c>
      <c r="AX157" s="1096">
        <f>AU157*(AP157+AP158)</f>
        <v>1635264</v>
      </c>
      <c r="AY157" s="1096">
        <f>AW157-AX157</f>
        <v>151776</v>
      </c>
      <c r="AZ157" s="1097">
        <f>AW157-AX157-AY157</f>
        <v>0</v>
      </c>
      <c r="BA157" s="1103">
        <f>AW157-AL157</f>
        <v>-9048.0000000002328</v>
      </c>
      <c r="BB157" s="959">
        <v>2</v>
      </c>
      <c r="BC157" s="617">
        <f>AS157*AU157</f>
        <v>1787040</v>
      </c>
      <c r="BD157" s="617">
        <f>(AP157+AP158)*AU157</f>
        <v>1635264</v>
      </c>
      <c r="BE157" s="617">
        <f>BC157-BD157</f>
        <v>151776</v>
      </c>
      <c r="BF157" s="839"/>
      <c r="BG157" s="838">
        <f t="shared" ref="BG157" si="266">BC157-AW157</f>
        <v>0</v>
      </c>
      <c r="BH157" s="838">
        <f t="shared" ref="BH157" si="267">BD157-AX157</f>
        <v>0</v>
      </c>
      <c r="BI157" s="838">
        <f t="shared" ref="BI157" si="268">BE157-AY157</f>
        <v>0</v>
      </c>
    </row>
    <row r="158" spans="1:61" s="183" customFormat="1" ht="18.75" customHeight="1" x14ac:dyDescent="0.2">
      <c r="A158" s="1041"/>
      <c r="B158" s="1041"/>
      <c r="C158" s="1042"/>
      <c r="D158" s="737" t="s">
        <v>355</v>
      </c>
      <c r="E158" s="318"/>
      <c r="F158" s="199"/>
      <c r="G158" s="199"/>
      <c r="H158" s="659"/>
      <c r="I158" s="199"/>
      <c r="J158" s="674"/>
      <c r="K158" s="200"/>
      <c r="L158" s="673"/>
      <c r="M158" s="200"/>
      <c r="N158" s="185"/>
      <c r="O158" s="658" t="s">
        <v>319</v>
      </c>
      <c r="P158" s="199">
        <v>1</v>
      </c>
      <c r="Q158" s="199">
        <v>88200</v>
      </c>
      <c r="R158" s="658">
        <v>1.04</v>
      </c>
      <c r="S158" s="199">
        <v>91730</v>
      </c>
      <c r="T158" s="658">
        <v>1.0403</v>
      </c>
      <c r="U158" s="200">
        <v>95430</v>
      </c>
      <c r="V158" s="673">
        <v>1.02</v>
      </c>
      <c r="W158" s="200">
        <v>97340</v>
      </c>
      <c r="X158" s="315">
        <v>1.1000000000000001</v>
      </c>
      <c r="Y158" s="185">
        <v>1284888.0000000002</v>
      </c>
      <c r="Z158" s="318"/>
      <c r="AA158" s="318"/>
      <c r="AB158" s="318"/>
      <c r="AC158" s="318"/>
      <c r="AD158" s="318"/>
      <c r="AE158" s="318"/>
      <c r="AF158" s="318"/>
      <c r="AG158" s="318"/>
      <c r="AH158" s="318"/>
      <c r="AI158" s="318"/>
      <c r="AJ158" s="199">
        <f t="shared" si="249"/>
        <v>1</v>
      </c>
      <c r="AK158" s="831">
        <v>1284888.0000000002</v>
      </c>
      <c r="AL158" s="1053"/>
      <c r="AM158" s="1052"/>
      <c r="AN158" s="1052"/>
      <c r="AO158" s="184"/>
      <c r="AP158" s="318">
        <f t="shared" ref="AP158:AP166" si="269">24*(365-31)*1</f>
        <v>8016</v>
      </c>
      <c r="AQ158" s="318">
        <f t="shared" ref="AQ158:AQ166" si="270">24*31</f>
        <v>744</v>
      </c>
      <c r="AR158" s="318">
        <f t="shared" ref="AR158:AR167" si="271">SUM(AP158:AQ158)</f>
        <v>8760</v>
      </c>
      <c r="AS158" s="1112"/>
      <c r="AT158" s="836">
        <v>146</v>
      </c>
      <c r="AU158" s="1102"/>
      <c r="AV158" s="836">
        <f t="shared" si="253"/>
        <v>1278960</v>
      </c>
      <c r="AW158" s="1096"/>
      <c r="AX158" s="1096"/>
      <c r="AY158" s="1096"/>
      <c r="AZ158" s="1097"/>
      <c r="BA158" s="1103"/>
      <c r="BB158" s="959"/>
      <c r="BC158" s="839"/>
      <c r="BD158" s="839"/>
      <c r="BE158" s="839"/>
      <c r="BF158" s="839"/>
      <c r="BG158" s="839"/>
      <c r="BH158" s="839"/>
    </row>
    <row r="159" spans="1:61" s="184" customFormat="1" ht="18.75" customHeight="1" x14ac:dyDescent="0.2">
      <c r="A159" s="1065">
        <v>41</v>
      </c>
      <c r="B159" s="1065">
        <v>10</v>
      </c>
      <c r="C159" s="1073" t="s">
        <v>417</v>
      </c>
      <c r="D159" s="737" t="s">
        <v>386</v>
      </c>
      <c r="E159" s="658" t="s">
        <v>185</v>
      </c>
      <c r="F159" s="311">
        <v>1</v>
      </c>
      <c r="G159" s="198"/>
      <c r="H159" s="709"/>
      <c r="I159" s="453"/>
      <c r="J159" s="671"/>
      <c r="K159" s="200">
        <v>77580</v>
      </c>
      <c r="L159" s="673">
        <v>1.02</v>
      </c>
      <c r="M159" s="200">
        <v>79130</v>
      </c>
      <c r="N159" s="185">
        <v>949560</v>
      </c>
      <c r="O159" s="710"/>
      <c r="P159" s="311"/>
      <c r="Q159" s="311"/>
      <c r="R159" s="311"/>
      <c r="S159" s="311"/>
      <c r="T159" s="315"/>
      <c r="U159" s="315"/>
      <c r="V159" s="315"/>
      <c r="W159" s="200"/>
      <c r="X159" s="315"/>
      <c r="Y159" s="185"/>
      <c r="Z159" s="311"/>
      <c r="AA159" s="311"/>
      <c r="AB159" s="311"/>
      <c r="AC159" s="311"/>
      <c r="AD159" s="311"/>
      <c r="AE159" s="311"/>
      <c r="AF159" s="315"/>
      <c r="AG159" s="315"/>
      <c r="AH159" s="315"/>
      <c r="AI159" s="199"/>
      <c r="AJ159" s="199">
        <f t="shared" si="249"/>
        <v>1</v>
      </c>
      <c r="AK159" s="831">
        <v>949560</v>
      </c>
      <c r="AL159" s="1053">
        <f>AK159+AK160+AK161+AK162+AK163+AK164+AK165+AK166+AK167</f>
        <v>8632392</v>
      </c>
      <c r="AM159" s="1052">
        <f>AL159/12*11</f>
        <v>7913026</v>
      </c>
      <c r="AN159" s="1052">
        <f>AL159/12</f>
        <v>719366</v>
      </c>
      <c r="AP159" s="318">
        <f t="shared" si="269"/>
        <v>8016</v>
      </c>
      <c r="AQ159" s="318">
        <f t="shared" si="270"/>
        <v>744</v>
      </c>
      <c r="AR159" s="318">
        <f t="shared" si="271"/>
        <v>8760</v>
      </c>
      <c r="AS159" s="1112">
        <f>AR159+AR160+AR161+AR162+AR163+AR164+AR165+AR166+AR167</f>
        <v>74460</v>
      </c>
      <c r="AT159" s="836">
        <v>108</v>
      </c>
      <c r="AU159" s="1102">
        <v>116</v>
      </c>
      <c r="AV159" s="836">
        <f t="shared" si="253"/>
        <v>946080</v>
      </c>
      <c r="AW159" s="1096">
        <f>AS159*AU159</f>
        <v>8637360</v>
      </c>
      <c r="AX159" s="1096">
        <f>AU159*(AP159+AP160+AP161+AP162+AP163+AP164+AP165+AP166+AP167)</f>
        <v>7903776</v>
      </c>
      <c r="AY159" s="1096">
        <f>AW159-AX159</f>
        <v>733584</v>
      </c>
      <c r="AZ159" s="1103">
        <f>AW159-AX159-AY159</f>
        <v>0</v>
      </c>
      <c r="BA159" s="1103">
        <f>AW159-AL159</f>
        <v>4968</v>
      </c>
      <c r="BB159" s="959">
        <v>8</v>
      </c>
      <c r="BC159" s="617">
        <f>AS159*AU159</f>
        <v>8637360</v>
      </c>
      <c r="BD159" s="617">
        <f>(AP159+AP160+AP161+AP162+AP163+AP164+AP165+AP166+AP167)*AU159</f>
        <v>7903776</v>
      </c>
      <c r="BE159" s="617">
        <f>BC159-BD159</f>
        <v>733584</v>
      </c>
      <c r="BF159" s="839"/>
      <c r="BG159" s="838">
        <f t="shared" ref="BG159" si="272">BC159-AW159</f>
        <v>0</v>
      </c>
      <c r="BH159" s="838">
        <f t="shared" ref="BH159" si="273">BD159-AX159</f>
        <v>0</v>
      </c>
      <c r="BI159" s="838">
        <f t="shared" ref="BI159" si="274">BE159-AY159</f>
        <v>0</v>
      </c>
    </row>
    <row r="160" spans="1:61" s="184" customFormat="1" ht="18.75" customHeight="1" x14ac:dyDescent="0.2">
      <c r="A160" s="1067"/>
      <c r="B160" s="1067"/>
      <c r="C160" s="1077"/>
      <c r="D160" s="737" t="s">
        <v>387</v>
      </c>
      <c r="E160" s="658" t="s">
        <v>185</v>
      </c>
      <c r="F160" s="311">
        <v>1</v>
      </c>
      <c r="G160" s="198"/>
      <c r="H160" s="709"/>
      <c r="I160" s="453"/>
      <c r="J160" s="671"/>
      <c r="K160" s="200">
        <v>77580</v>
      </c>
      <c r="L160" s="673">
        <v>1.02</v>
      </c>
      <c r="M160" s="200">
        <v>79130</v>
      </c>
      <c r="N160" s="185">
        <v>949560</v>
      </c>
      <c r="O160" s="710"/>
      <c r="P160" s="311"/>
      <c r="Q160" s="311"/>
      <c r="R160" s="311"/>
      <c r="S160" s="311"/>
      <c r="T160" s="315"/>
      <c r="U160" s="315"/>
      <c r="V160" s="315"/>
      <c r="W160" s="200"/>
      <c r="X160" s="315"/>
      <c r="Y160" s="185"/>
      <c r="Z160" s="311"/>
      <c r="AA160" s="311"/>
      <c r="AB160" s="311"/>
      <c r="AC160" s="311"/>
      <c r="AD160" s="311"/>
      <c r="AE160" s="311"/>
      <c r="AF160" s="315"/>
      <c r="AG160" s="315"/>
      <c r="AH160" s="315"/>
      <c r="AI160" s="199"/>
      <c r="AJ160" s="199">
        <f t="shared" si="249"/>
        <v>1</v>
      </c>
      <c r="AK160" s="831">
        <v>949560</v>
      </c>
      <c r="AL160" s="1053"/>
      <c r="AM160" s="1052"/>
      <c r="AN160" s="1052"/>
      <c r="AP160" s="318">
        <f t="shared" si="269"/>
        <v>8016</v>
      </c>
      <c r="AQ160" s="318">
        <f t="shared" si="270"/>
        <v>744</v>
      </c>
      <c r="AR160" s="318">
        <f t="shared" si="271"/>
        <v>8760</v>
      </c>
      <c r="AS160" s="1112"/>
      <c r="AT160" s="836">
        <v>108</v>
      </c>
      <c r="AU160" s="1102"/>
      <c r="AV160" s="836">
        <f t="shared" si="253"/>
        <v>946080</v>
      </c>
      <c r="AW160" s="1096"/>
      <c r="AX160" s="1096"/>
      <c r="AY160" s="1096"/>
      <c r="AZ160" s="1103"/>
      <c r="BA160" s="1103"/>
      <c r="BB160" s="959"/>
      <c r="BC160" s="838"/>
      <c r="BD160" s="838"/>
      <c r="BE160" s="838"/>
      <c r="BF160" s="838"/>
      <c r="BG160" s="838"/>
      <c r="BH160" s="838"/>
    </row>
    <row r="161" spans="1:61" s="184" customFormat="1" ht="18.75" customHeight="1" x14ac:dyDescent="0.2">
      <c r="A161" s="1067"/>
      <c r="B161" s="1067"/>
      <c r="C161" s="1077"/>
      <c r="D161" s="737" t="s">
        <v>388</v>
      </c>
      <c r="E161" s="658" t="s">
        <v>185</v>
      </c>
      <c r="F161" s="311">
        <v>1</v>
      </c>
      <c r="G161" s="198"/>
      <c r="H161" s="709"/>
      <c r="I161" s="453"/>
      <c r="J161" s="671"/>
      <c r="K161" s="200">
        <v>77580</v>
      </c>
      <c r="L161" s="673">
        <v>1.02</v>
      </c>
      <c r="M161" s="200">
        <v>79130</v>
      </c>
      <c r="N161" s="185">
        <v>949560</v>
      </c>
      <c r="O161" s="710"/>
      <c r="P161" s="311"/>
      <c r="Q161" s="311"/>
      <c r="R161" s="311"/>
      <c r="S161" s="311"/>
      <c r="T161" s="315"/>
      <c r="U161" s="315"/>
      <c r="V161" s="315"/>
      <c r="W161" s="200"/>
      <c r="X161" s="315"/>
      <c r="Y161" s="185"/>
      <c r="Z161" s="311"/>
      <c r="AA161" s="311"/>
      <c r="AB161" s="311"/>
      <c r="AC161" s="311"/>
      <c r="AD161" s="311"/>
      <c r="AE161" s="311"/>
      <c r="AF161" s="315"/>
      <c r="AG161" s="315"/>
      <c r="AH161" s="315"/>
      <c r="AI161" s="199"/>
      <c r="AJ161" s="199">
        <f t="shared" si="249"/>
        <v>1</v>
      </c>
      <c r="AK161" s="831">
        <v>949560</v>
      </c>
      <c r="AL161" s="1053"/>
      <c r="AM161" s="1052"/>
      <c r="AN161" s="1052"/>
      <c r="AP161" s="318">
        <f t="shared" si="269"/>
        <v>8016</v>
      </c>
      <c r="AQ161" s="318">
        <f t="shared" si="270"/>
        <v>744</v>
      </c>
      <c r="AR161" s="318">
        <f t="shared" si="271"/>
        <v>8760</v>
      </c>
      <c r="AS161" s="1112"/>
      <c r="AT161" s="836">
        <v>108</v>
      </c>
      <c r="AU161" s="1102"/>
      <c r="AV161" s="836">
        <f t="shared" si="253"/>
        <v>946080</v>
      </c>
      <c r="AW161" s="1096"/>
      <c r="AX161" s="1096"/>
      <c r="AY161" s="1096"/>
      <c r="AZ161" s="1103"/>
      <c r="BA161" s="1103"/>
      <c r="BB161" s="959"/>
      <c r="BC161" s="838"/>
      <c r="BD161" s="838"/>
      <c r="BE161" s="838"/>
      <c r="BF161" s="838"/>
      <c r="BG161" s="838"/>
      <c r="BH161" s="838"/>
    </row>
    <row r="162" spans="1:61" s="184" customFormat="1" ht="18.75" customHeight="1" x14ac:dyDescent="0.2">
      <c r="A162" s="1067"/>
      <c r="B162" s="1067"/>
      <c r="C162" s="1077"/>
      <c r="D162" s="737" t="s">
        <v>389</v>
      </c>
      <c r="E162" s="658" t="s">
        <v>185</v>
      </c>
      <c r="F162" s="311">
        <v>1</v>
      </c>
      <c r="G162" s="198"/>
      <c r="H162" s="709"/>
      <c r="I162" s="453"/>
      <c r="J162" s="671"/>
      <c r="K162" s="200">
        <v>77580</v>
      </c>
      <c r="L162" s="673">
        <v>1.02</v>
      </c>
      <c r="M162" s="200">
        <v>79130</v>
      </c>
      <c r="N162" s="185">
        <v>949560</v>
      </c>
      <c r="O162" s="710"/>
      <c r="P162" s="311"/>
      <c r="Q162" s="311"/>
      <c r="R162" s="311"/>
      <c r="S162" s="311"/>
      <c r="T162" s="315"/>
      <c r="U162" s="315"/>
      <c r="V162" s="315"/>
      <c r="W162" s="200"/>
      <c r="X162" s="315"/>
      <c r="Y162" s="185"/>
      <c r="Z162" s="311"/>
      <c r="AA162" s="311"/>
      <c r="AB162" s="311"/>
      <c r="AC162" s="311"/>
      <c r="AD162" s="311"/>
      <c r="AE162" s="311"/>
      <c r="AF162" s="315"/>
      <c r="AG162" s="315"/>
      <c r="AH162" s="315"/>
      <c r="AI162" s="199"/>
      <c r="AJ162" s="199">
        <f t="shared" si="249"/>
        <v>1</v>
      </c>
      <c r="AK162" s="831">
        <v>949560</v>
      </c>
      <c r="AL162" s="1053"/>
      <c r="AM162" s="1052"/>
      <c r="AN162" s="1052"/>
      <c r="AP162" s="318">
        <f t="shared" si="269"/>
        <v>8016</v>
      </c>
      <c r="AQ162" s="318">
        <f t="shared" si="270"/>
        <v>744</v>
      </c>
      <c r="AR162" s="318">
        <f t="shared" si="271"/>
        <v>8760</v>
      </c>
      <c r="AS162" s="1112"/>
      <c r="AT162" s="836">
        <v>108</v>
      </c>
      <c r="AU162" s="1102"/>
      <c r="AV162" s="836">
        <f t="shared" si="253"/>
        <v>946080</v>
      </c>
      <c r="AW162" s="1096"/>
      <c r="AX162" s="1096"/>
      <c r="AY162" s="1096"/>
      <c r="AZ162" s="1103"/>
      <c r="BA162" s="1103"/>
      <c r="BB162" s="959"/>
      <c r="BC162" s="838"/>
      <c r="BD162" s="838"/>
      <c r="BE162" s="838"/>
      <c r="BF162" s="838"/>
      <c r="BG162" s="838"/>
      <c r="BH162" s="838"/>
    </row>
    <row r="163" spans="1:61" s="184" customFormat="1" ht="18.75" customHeight="1" x14ac:dyDescent="0.2">
      <c r="A163" s="1067"/>
      <c r="B163" s="1067"/>
      <c r="C163" s="1077"/>
      <c r="D163" s="737" t="s">
        <v>390</v>
      </c>
      <c r="E163" s="658" t="s">
        <v>185</v>
      </c>
      <c r="F163" s="311">
        <v>1</v>
      </c>
      <c r="G163" s="198"/>
      <c r="H163" s="709"/>
      <c r="I163" s="453"/>
      <c r="J163" s="671"/>
      <c r="K163" s="200">
        <v>77580</v>
      </c>
      <c r="L163" s="673">
        <v>1.02</v>
      </c>
      <c r="M163" s="200">
        <v>79130</v>
      </c>
      <c r="N163" s="185">
        <v>949560</v>
      </c>
      <c r="O163" s="710"/>
      <c r="P163" s="311"/>
      <c r="Q163" s="311"/>
      <c r="R163" s="311"/>
      <c r="S163" s="311"/>
      <c r="T163" s="315"/>
      <c r="U163" s="315"/>
      <c r="V163" s="315"/>
      <c r="W163" s="200"/>
      <c r="X163" s="315"/>
      <c r="Y163" s="185"/>
      <c r="Z163" s="311"/>
      <c r="AA163" s="311"/>
      <c r="AB163" s="311"/>
      <c r="AC163" s="311"/>
      <c r="AD163" s="311"/>
      <c r="AE163" s="311"/>
      <c r="AF163" s="315"/>
      <c r="AG163" s="315"/>
      <c r="AH163" s="315"/>
      <c r="AI163" s="199"/>
      <c r="AJ163" s="199">
        <f t="shared" si="249"/>
        <v>1</v>
      </c>
      <c r="AK163" s="831">
        <v>949560</v>
      </c>
      <c r="AL163" s="1053"/>
      <c r="AM163" s="1052"/>
      <c r="AN163" s="1052"/>
      <c r="AP163" s="318">
        <f t="shared" si="269"/>
        <v>8016</v>
      </c>
      <c r="AQ163" s="318">
        <f t="shared" si="270"/>
        <v>744</v>
      </c>
      <c r="AR163" s="318">
        <f t="shared" si="271"/>
        <v>8760</v>
      </c>
      <c r="AS163" s="1112"/>
      <c r="AT163" s="836">
        <v>108</v>
      </c>
      <c r="AU163" s="1102"/>
      <c r="AV163" s="836">
        <f t="shared" si="253"/>
        <v>946080</v>
      </c>
      <c r="AW163" s="1096"/>
      <c r="AX163" s="1096"/>
      <c r="AY163" s="1096"/>
      <c r="AZ163" s="1103"/>
      <c r="BA163" s="1103"/>
      <c r="BB163" s="959"/>
      <c r="BC163" s="838"/>
      <c r="BD163" s="838"/>
      <c r="BE163" s="838"/>
      <c r="BF163" s="838"/>
      <c r="BG163" s="838"/>
      <c r="BH163" s="838"/>
    </row>
    <row r="164" spans="1:61" s="184" customFormat="1" ht="18.75" customHeight="1" x14ac:dyDescent="0.2">
      <c r="A164" s="1067"/>
      <c r="B164" s="1067"/>
      <c r="C164" s="1077"/>
      <c r="D164" s="737" t="s">
        <v>415</v>
      </c>
      <c r="E164" s="658" t="s">
        <v>185</v>
      </c>
      <c r="F164" s="311">
        <v>1</v>
      </c>
      <c r="G164" s="198"/>
      <c r="H164" s="709"/>
      <c r="I164" s="453"/>
      <c r="J164" s="671"/>
      <c r="K164" s="200">
        <v>77580</v>
      </c>
      <c r="L164" s="673"/>
      <c r="M164" s="200">
        <v>79130</v>
      </c>
      <c r="N164" s="185">
        <v>949560</v>
      </c>
      <c r="O164" s="710"/>
      <c r="P164" s="311"/>
      <c r="Q164" s="311"/>
      <c r="R164" s="311"/>
      <c r="S164" s="311"/>
      <c r="T164" s="315"/>
      <c r="U164" s="315"/>
      <c r="V164" s="315"/>
      <c r="W164" s="200"/>
      <c r="X164" s="315"/>
      <c r="Y164" s="185"/>
      <c r="Z164" s="311"/>
      <c r="AA164" s="311"/>
      <c r="AB164" s="311"/>
      <c r="AC164" s="311"/>
      <c r="AD164" s="311"/>
      <c r="AE164" s="311"/>
      <c r="AF164" s="315"/>
      <c r="AG164" s="315"/>
      <c r="AH164" s="315"/>
      <c r="AI164" s="199"/>
      <c r="AJ164" s="199">
        <f t="shared" si="249"/>
        <v>1</v>
      </c>
      <c r="AK164" s="831">
        <v>949560</v>
      </c>
      <c r="AL164" s="1053"/>
      <c r="AM164" s="1052"/>
      <c r="AN164" s="1052"/>
      <c r="AP164" s="318">
        <f t="shared" si="269"/>
        <v>8016</v>
      </c>
      <c r="AQ164" s="318">
        <f t="shared" si="270"/>
        <v>744</v>
      </c>
      <c r="AR164" s="318">
        <f t="shared" si="271"/>
        <v>8760</v>
      </c>
      <c r="AS164" s="1112"/>
      <c r="AT164" s="836">
        <v>108</v>
      </c>
      <c r="AU164" s="1102"/>
      <c r="AV164" s="836">
        <f t="shared" si="253"/>
        <v>946080</v>
      </c>
      <c r="AW164" s="1096"/>
      <c r="AX164" s="1096"/>
      <c r="AY164" s="1096"/>
      <c r="AZ164" s="1103"/>
      <c r="BA164" s="1103"/>
      <c r="BB164" s="959"/>
      <c r="BC164" s="838"/>
      <c r="BD164" s="838"/>
      <c r="BE164" s="838"/>
      <c r="BF164" s="838"/>
      <c r="BG164" s="838"/>
      <c r="BH164" s="838"/>
    </row>
    <row r="165" spans="1:61" s="184" customFormat="1" ht="18.75" customHeight="1" x14ac:dyDescent="0.2">
      <c r="A165" s="1067"/>
      <c r="B165" s="1067"/>
      <c r="C165" s="1077"/>
      <c r="D165" s="737" t="s">
        <v>416</v>
      </c>
      <c r="E165" s="658" t="s">
        <v>185</v>
      </c>
      <c r="F165" s="311">
        <v>1</v>
      </c>
      <c r="G165" s="198"/>
      <c r="H165" s="709"/>
      <c r="I165" s="453"/>
      <c r="J165" s="671"/>
      <c r="K165" s="200">
        <v>77580</v>
      </c>
      <c r="L165" s="673"/>
      <c r="M165" s="200">
        <v>79130</v>
      </c>
      <c r="N165" s="185">
        <v>949560</v>
      </c>
      <c r="O165" s="710"/>
      <c r="P165" s="311"/>
      <c r="Q165" s="311"/>
      <c r="R165" s="311"/>
      <c r="S165" s="311"/>
      <c r="T165" s="315"/>
      <c r="U165" s="315"/>
      <c r="V165" s="315"/>
      <c r="W165" s="200"/>
      <c r="X165" s="315"/>
      <c r="Y165" s="185"/>
      <c r="Z165" s="311"/>
      <c r="AA165" s="311"/>
      <c r="AB165" s="311"/>
      <c r="AC165" s="311"/>
      <c r="AD165" s="311"/>
      <c r="AE165" s="311"/>
      <c r="AF165" s="315"/>
      <c r="AG165" s="315"/>
      <c r="AH165" s="315"/>
      <c r="AI165" s="199"/>
      <c r="AJ165" s="199">
        <f t="shared" si="249"/>
        <v>1</v>
      </c>
      <c r="AK165" s="831">
        <v>949560</v>
      </c>
      <c r="AL165" s="1053"/>
      <c r="AM165" s="1052"/>
      <c r="AN165" s="1052"/>
      <c r="AP165" s="318">
        <f t="shared" si="269"/>
        <v>8016</v>
      </c>
      <c r="AQ165" s="318">
        <f t="shared" si="270"/>
        <v>744</v>
      </c>
      <c r="AR165" s="318">
        <f t="shared" si="271"/>
        <v>8760</v>
      </c>
      <c r="AS165" s="1112"/>
      <c r="AT165" s="836">
        <v>108</v>
      </c>
      <c r="AU165" s="1102"/>
      <c r="AV165" s="836">
        <f t="shared" si="253"/>
        <v>946080</v>
      </c>
      <c r="AW165" s="1096"/>
      <c r="AX165" s="1096"/>
      <c r="AY165" s="1096"/>
      <c r="AZ165" s="1103"/>
      <c r="BA165" s="1103"/>
      <c r="BB165" s="959"/>
      <c r="BC165" s="838"/>
      <c r="BD165" s="838"/>
      <c r="BE165" s="838"/>
      <c r="BF165" s="838"/>
      <c r="BG165" s="838"/>
      <c r="BH165" s="838"/>
    </row>
    <row r="166" spans="1:61" s="184" customFormat="1" ht="18.75" customHeight="1" x14ac:dyDescent="0.2">
      <c r="A166" s="1067"/>
      <c r="B166" s="1067"/>
      <c r="C166" s="1077"/>
      <c r="D166" s="737" t="s">
        <v>418</v>
      </c>
      <c r="E166" s="658"/>
      <c r="F166" s="311"/>
      <c r="G166" s="198"/>
      <c r="H166" s="709"/>
      <c r="I166" s="453"/>
      <c r="J166" s="671"/>
      <c r="K166" s="200"/>
      <c r="L166" s="673"/>
      <c r="M166" s="200"/>
      <c r="N166" s="185"/>
      <c r="O166" s="658" t="s">
        <v>198</v>
      </c>
      <c r="P166" s="311">
        <v>1</v>
      </c>
      <c r="Q166" s="311"/>
      <c r="R166" s="311"/>
      <c r="S166" s="311"/>
      <c r="T166" s="315"/>
      <c r="U166" s="200">
        <v>101380</v>
      </c>
      <c r="V166" s="673"/>
      <c r="W166" s="200">
        <v>103410</v>
      </c>
      <c r="X166" s="315">
        <v>1.1000000000000001</v>
      </c>
      <c r="Y166" s="185">
        <v>1365012.0000000002</v>
      </c>
      <c r="Z166" s="311"/>
      <c r="AA166" s="311"/>
      <c r="AB166" s="311"/>
      <c r="AC166" s="311"/>
      <c r="AD166" s="311"/>
      <c r="AE166" s="311"/>
      <c r="AF166" s="315"/>
      <c r="AG166" s="315"/>
      <c r="AH166" s="315"/>
      <c r="AI166" s="199"/>
      <c r="AJ166" s="199">
        <f t="shared" si="249"/>
        <v>1</v>
      </c>
      <c r="AK166" s="831">
        <v>1365012.0000000002</v>
      </c>
      <c r="AL166" s="1053"/>
      <c r="AM166" s="1052"/>
      <c r="AN166" s="1052"/>
      <c r="AP166" s="318">
        <f t="shared" si="269"/>
        <v>8016</v>
      </c>
      <c r="AQ166" s="318">
        <f t="shared" si="270"/>
        <v>744</v>
      </c>
      <c r="AR166" s="318">
        <f t="shared" si="271"/>
        <v>8760</v>
      </c>
      <c r="AS166" s="1112"/>
      <c r="AT166" s="836">
        <v>155</v>
      </c>
      <c r="AU166" s="1102"/>
      <c r="AV166" s="836">
        <f t="shared" si="253"/>
        <v>1357800</v>
      </c>
      <c r="AW166" s="1096"/>
      <c r="AX166" s="1096"/>
      <c r="AY166" s="1096"/>
      <c r="AZ166" s="1103"/>
      <c r="BA166" s="1103"/>
      <c r="BB166" s="959"/>
      <c r="BC166" s="838"/>
      <c r="BD166" s="838"/>
      <c r="BE166" s="838"/>
      <c r="BF166" s="838"/>
      <c r="BG166" s="838"/>
      <c r="BH166" s="838"/>
    </row>
    <row r="167" spans="1:61" s="184" customFormat="1" ht="18.75" customHeight="1" x14ac:dyDescent="0.2">
      <c r="A167" s="1066"/>
      <c r="B167" s="1066"/>
      <c r="C167" s="1074"/>
      <c r="D167" s="737" t="s">
        <v>418</v>
      </c>
      <c r="E167" s="658"/>
      <c r="F167" s="311"/>
      <c r="G167" s="198"/>
      <c r="H167" s="709"/>
      <c r="I167" s="453"/>
      <c r="J167" s="671"/>
      <c r="K167" s="200"/>
      <c r="L167" s="673"/>
      <c r="M167" s="200"/>
      <c r="N167" s="185"/>
      <c r="O167" s="658" t="s">
        <v>198</v>
      </c>
      <c r="P167" s="311">
        <v>0.5</v>
      </c>
      <c r="Q167" s="311"/>
      <c r="R167" s="311"/>
      <c r="S167" s="311"/>
      <c r="T167" s="315"/>
      <c r="U167" s="200">
        <v>101380</v>
      </c>
      <c r="V167" s="673"/>
      <c r="W167" s="200">
        <v>103410</v>
      </c>
      <c r="X167" s="315">
        <v>1</v>
      </c>
      <c r="Y167" s="185">
        <v>620460</v>
      </c>
      <c r="Z167" s="311"/>
      <c r="AA167" s="311"/>
      <c r="AB167" s="311"/>
      <c r="AC167" s="311"/>
      <c r="AD167" s="311"/>
      <c r="AE167" s="311"/>
      <c r="AF167" s="315"/>
      <c r="AG167" s="315"/>
      <c r="AH167" s="315"/>
      <c r="AI167" s="199"/>
      <c r="AJ167" s="731">
        <f t="shared" si="249"/>
        <v>0.5</v>
      </c>
      <c r="AK167" s="831">
        <v>620460</v>
      </c>
      <c r="AL167" s="1053"/>
      <c r="AM167" s="1052"/>
      <c r="AN167" s="1052"/>
      <c r="AP167" s="874">
        <f>12*(365-31)*1</f>
        <v>4008</v>
      </c>
      <c r="AQ167" s="874">
        <f>12*31</f>
        <v>372</v>
      </c>
      <c r="AR167" s="874">
        <f t="shared" si="271"/>
        <v>4380</v>
      </c>
      <c r="AS167" s="1112"/>
      <c r="AT167" s="836">
        <v>141</v>
      </c>
      <c r="AU167" s="1102"/>
      <c r="AV167" s="836">
        <f t="shared" si="253"/>
        <v>617580</v>
      </c>
      <c r="AW167" s="1096"/>
      <c r="AX167" s="1096"/>
      <c r="AY167" s="1096"/>
      <c r="AZ167" s="1103"/>
      <c r="BA167" s="1103"/>
      <c r="BB167" s="959"/>
      <c r="BC167" s="838"/>
      <c r="BD167" s="838"/>
      <c r="BE167" s="838"/>
      <c r="BF167" s="838"/>
      <c r="BG167" s="838"/>
      <c r="BH167" s="838"/>
    </row>
    <row r="168" spans="1:61" s="196" customFormat="1" ht="18.75" customHeight="1" x14ac:dyDescent="0.2">
      <c r="A168" s="726">
        <v>42</v>
      </c>
      <c r="B168" s="726">
        <v>11</v>
      </c>
      <c r="C168" s="462" t="s">
        <v>47</v>
      </c>
      <c r="D168" s="737" t="s">
        <v>46</v>
      </c>
      <c r="E168" s="318"/>
      <c r="F168" s="199"/>
      <c r="G168" s="199"/>
      <c r="H168" s="659"/>
      <c r="I168" s="199"/>
      <c r="J168" s="674"/>
      <c r="K168" s="200"/>
      <c r="L168" s="673"/>
      <c r="M168" s="200"/>
      <c r="N168" s="185"/>
      <c r="O168" s="658" t="s">
        <v>319</v>
      </c>
      <c r="P168" s="311">
        <v>1</v>
      </c>
      <c r="Q168" s="199">
        <v>88200</v>
      </c>
      <c r="R168" s="658">
        <v>1.04</v>
      </c>
      <c r="S168" s="199">
        <v>91730</v>
      </c>
      <c r="T168" s="658">
        <v>1.0403</v>
      </c>
      <c r="U168" s="200">
        <v>95430</v>
      </c>
      <c r="V168" s="673">
        <v>1.02</v>
      </c>
      <c r="W168" s="200">
        <v>97340</v>
      </c>
      <c r="X168" s="315">
        <v>1.1000000000000001</v>
      </c>
      <c r="Y168" s="185">
        <v>1284888.0000000002</v>
      </c>
      <c r="Z168" s="315"/>
      <c r="AA168" s="315"/>
      <c r="AB168" s="315"/>
      <c r="AC168" s="315"/>
      <c r="AD168" s="315"/>
      <c r="AE168" s="315"/>
      <c r="AF168" s="315"/>
      <c r="AG168" s="315"/>
      <c r="AH168" s="315"/>
      <c r="AI168" s="318"/>
      <c r="AJ168" s="199">
        <f t="shared" si="249"/>
        <v>1</v>
      </c>
      <c r="AK168" s="831">
        <v>1284888.0000000002</v>
      </c>
      <c r="AL168" s="200">
        <f>AK168</f>
        <v>1284888.0000000002</v>
      </c>
      <c r="AM168" s="199">
        <f>AL168/12*11</f>
        <v>1177814.0000000002</v>
      </c>
      <c r="AN168" s="199">
        <f>AL168/12</f>
        <v>107074.00000000001</v>
      </c>
      <c r="AO168" s="184"/>
      <c r="AP168" s="318">
        <f t="shared" ref="AP168:AP171" si="275">24*(365-31)*1</f>
        <v>8016</v>
      </c>
      <c r="AQ168" s="318">
        <f t="shared" ref="AQ168:AQ171" si="276">24*31</f>
        <v>744</v>
      </c>
      <c r="AR168" s="318">
        <f t="shared" ref="AR168:AR172" si="277">SUM(AP168:AQ168)</f>
        <v>8760</v>
      </c>
      <c r="AS168" s="925">
        <f t="shared" ref="AS168" si="278">AR168</f>
        <v>8760</v>
      </c>
      <c r="AT168" s="836">
        <v>146</v>
      </c>
      <c r="AU168" s="941">
        <v>146</v>
      </c>
      <c r="AV168" s="836">
        <f t="shared" si="253"/>
        <v>1278960</v>
      </c>
      <c r="AW168" s="885">
        <f>AV168</f>
        <v>1278960</v>
      </c>
      <c r="AX168" s="885">
        <f>AU168*AP168</f>
        <v>1170336</v>
      </c>
      <c r="AY168" s="885">
        <f>AW168-AX168</f>
        <v>108624</v>
      </c>
      <c r="AZ168" s="387">
        <f>AW168-AX168-AY168</f>
        <v>0</v>
      </c>
      <c r="BA168" s="596">
        <f>AW168-AL168</f>
        <v>-5928.0000000002328</v>
      </c>
      <c r="BB168" s="959">
        <v>1</v>
      </c>
      <c r="BC168" s="617">
        <f t="shared" ref="BC168" si="279">AS168*AU168</f>
        <v>1278960</v>
      </c>
      <c r="BD168" s="617">
        <f t="shared" ref="BD168" si="280">(AP168)*AU168</f>
        <v>1170336</v>
      </c>
      <c r="BE168" s="617">
        <f t="shared" ref="BE168:BE169" si="281">BC168-BD168</f>
        <v>108624</v>
      </c>
      <c r="BF168" s="838"/>
      <c r="BG168" s="838">
        <f t="shared" ref="BG168:BG169" si="282">BC168-AW168</f>
        <v>0</v>
      </c>
      <c r="BH168" s="838">
        <f t="shared" ref="BH168:BH169" si="283">BD168-AX168</f>
        <v>0</v>
      </c>
      <c r="BI168" s="838">
        <f t="shared" ref="BI168:BI169" si="284">BE168-AY168</f>
        <v>0</v>
      </c>
    </row>
    <row r="169" spans="1:61" s="183" customFormat="1" ht="18.75" customHeight="1" x14ac:dyDescent="0.2">
      <c r="A169" s="1065">
        <v>43</v>
      </c>
      <c r="B169" s="1065">
        <v>12</v>
      </c>
      <c r="C169" s="1073" t="s">
        <v>420</v>
      </c>
      <c r="D169" s="737" t="s">
        <v>421</v>
      </c>
      <c r="E169" s="658" t="s">
        <v>185</v>
      </c>
      <c r="F169" s="199">
        <v>1</v>
      </c>
      <c r="G169" s="199"/>
      <c r="H169" s="659"/>
      <c r="I169" s="199"/>
      <c r="J169" s="674"/>
      <c r="K169" s="200">
        <v>77580</v>
      </c>
      <c r="L169" s="673"/>
      <c r="M169" s="200">
        <v>79130</v>
      </c>
      <c r="N169" s="185">
        <v>949560</v>
      </c>
      <c r="O169" s="658"/>
      <c r="P169" s="199"/>
      <c r="Q169" s="199"/>
      <c r="R169" s="658"/>
      <c r="S169" s="199"/>
      <c r="T169" s="658"/>
      <c r="U169" s="200"/>
      <c r="V169" s="200"/>
      <c r="W169" s="200"/>
      <c r="X169" s="315"/>
      <c r="Y169" s="185"/>
      <c r="Z169" s="318"/>
      <c r="AA169" s="318"/>
      <c r="AB169" s="318"/>
      <c r="AC169" s="318"/>
      <c r="AD169" s="318"/>
      <c r="AE169" s="318"/>
      <c r="AF169" s="318"/>
      <c r="AG169" s="318"/>
      <c r="AH169" s="318"/>
      <c r="AI169" s="318"/>
      <c r="AJ169" s="199">
        <f t="shared" si="249"/>
        <v>1</v>
      </c>
      <c r="AK169" s="831">
        <v>949560</v>
      </c>
      <c r="AL169" s="1053">
        <f>AK169+AK170+AK171+AK172</f>
        <v>3768048</v>
      </c>
      <c r="AM169" s="1052">
        <f>AL169/12*11</f>
        <v>3454044</v>
      </c>
      <c r="AN169" s="1052">
        <f>AL169/12</f>
        <v>314004</v>
      </c>
      <c r="AO169" s="184"/>
      <c r="AP169" s="318">
        <f t="shared" si="275"/>
        <v>8016</v>
      </c>
      <c r="AQ169" s="318">
        <f t="shared" si="276"/>
        <v>744</v>
      </c>
      <c r="AR169" s="318">
        <f t="shared" si="277"/>
        <v>8760</v>
      </c>
      <c r="AS169" s="1112">
        <f>AR169+AR170+AR171+AR172</f>
        <v>30660</v>
      </c>
      <c r="AT169" s="836">
        <v>108</v>
      </c>
      <c r="AU169" s="1102">
        <v>123</v>
      </c>
      <c r="AV169" s="836">
        <f t="shared" si="253"/>
        <v>946080</v>
      </c>
      <c r="AW169" s="1096">
        <f>AS169*AU169</f>
        <v>3771180</v>
      </c>
      <c r="AX169" s="1096">
        <f>AW169/12*11</f>
        <v>3456915</v>
      </c>
      <c r="AY169" s="1096">
        <f>AW169/12</f>
        <v>314265</v>
      </c>
      <c r="AZ169" s="1106">
        <f>AW169-AX169-AY169</f>
        <v>0</v>
      </c>
      <c r="BA169" s="1103">
        <f>AW169-AL169</f>
        <v>3132</v>
      </c>
      <c r="BB169" s="959">
        <v>4</v>
      </c>
      <c r="BC169" s="617">
        <f>AS169*AU169</f>
        <v>3771180</v>
      </c>
      <c r="BD169" s="977">
        <f>(AP169+AP170+AP171+AP172)*AU169</f>
        <v>3450888</v>
      </c>
      <c r="BE169" s="977">
        <f t="shared" si="281"/>
        <v>320292</v>
      </c>
      <c r="BF169" s="838"/>
      <c r="BG169" s="838">
        <f t="shared" si="282"/>
        <v>0</v>
      </c>
      <c r="BH169" s="838">
        <f t="shared" si="283"/>
        <v>-6027</v>
      </c>
      <c r="BI169" s="838">
        <f t="shared" si="284"/>
        <v>6027</v>
      </c>
    </row>
    <row r="170" spans="1:61" s="183" customFormat="1" ht="18.75" customHeight="1" x14ac:dyDescent="0.2">
      <c r="A170" s="1067"/>
      <c r="B170" s="1067"/>
      <c r="C170" s="1077"/>
      <c r="D170" s="737" t="s">
        <v>422</v>
      </c>
      <c r="E170" s="658" t="s">
        <v>185</v>
      </c>
      <c r="F170" s="199">
        <v>1</v>
      </c>
      <c r="G170" s="199"/>
      <c r="H170" s="659"/>
      <c r="I170" s="199"/>
      <c r="J170" s="674"/>
      <c r="K170" s="200">
        <v>77580</v>
      </c>
      <c r="L170" s="673"/>
      <c r="M170" s="200">
        <v>79130</v>
      </c>
      <c r="N170" s="185">
        <v>949560</v>
      </c>
      <c r="O170" s="658"/>
      <c r="P170" s="199"/>
      <c r="Q170" s="199"/>
      <c r="R170" s="658"/>
      <c r="S170" s="199"/>
      <c r="T170" s="658"/>
      <c r="U170" s="200"/>
      <c r="V170" s="200"/>
      <c r="W170" s="200"/>
      <c r="X170" s="315"/>
      <c r="Y170" s="185"/>
      <c r="Z170" s="318"/>
      <c r="AA170" s="318"/>
      <c r="AB170" s="318"/>
      <c r="AC170" s="318"/>
      <c r="AD170" s="318"/>
      <c r="AE170" s="318"/>
      <c r="AF170" s="318"/>
      <c r="AG170" s="318"/>
      <c r="AH170" s="318"/>
      <c r="AI170" s="318"/>
      <c r="AJ170" s="199">
        <f t="shared" si="249"/>
        <v>1</v>
      </c>
      <c r="AK170" s="831">
        <v>949560</v>
      </c>
      <c r="AL170" s="1053"/>
      <c r="AM170" s="1052"/>
      <c r="AN170" s="1052"/>
      <c r="AO170" s="184"/>
      <c r="AP170" s="318">
        <f t="shared" si="275"/>
        <v>8016</v>
      </c>
      <c r="AQ170" s="318">
        <f t="shared" si="276"/>
        <v>744</v>
      </c>
      <c r="AR170" s="318">
        <f t="shared" si="277"/>
        <v>8760</v>
      </c>
      <c r="AS170" s="1112"/>
      <c r="AT170" s="836">
        <v>108</v>
      </c>
      <c r="AU170" s="1102"/>
      <c r="AV170" s="836">
        <f t="shared" si="253"/>
        <v>946080</v>
      </c>
      <c r="AW170" s="1096"/>
      <c r="AX170" s="1096"/>
      <c r="AY170" s="1096"/>
      <c r="AZ170" s="1107"/>
      <c r="BA170" s="1103"/>
      <c r="BB170" s="959"/>
      <c r="BC170" s="839"/>
      <c r="BD170" s="839"/>
      <c r="BE170" s="839"/>
      <c r="BF170" s="839"/>
      <c r="BG170" s="839"/>
      <c r="BH170" s="839"/>
    </row>
    <row r="171" spans="1:61" s="183" customFormat="1" ht="18.75" customHeight="1" x14ac:dyDescent="0.2">
      <c r="A171" s="1067"/>
      <c r="B171" s="1067"/>
      <c r="C171" s="1077"/>
      <c r="D171" s="737" t="s">
        <v>423</v>
      </c>
      <c r="E171" s="318"/>
      <c r="F171" s="199"/>
      <c r="G171" s="199"/>
      <c r="H171" s="659"/>
      <c r="I171" s="199"/>
      <c r="J171" s="674"/>
      <c r="K171" s="200"/>
      <c r="L171" s="673"/>
      <c r="M171" s="200"/>
      <c r="N171" s="185"/>
      <c r="O171" s="658" t="s">
        <v>319</v>
      </c>
      <c r="P171" s="199">
        <v>1</v>
      </c>
      <c r="Q171" s="199"/>
      <c r="R171" s="658"/>
      <c r="S171" s="199"/>
      <c r="T171" s="658"/>
      <c r="U171" s="200">
        <v>95430</v>
      </c>
      <c r="V171" s="673"/>
      <c r="W171" s="200">
        <v>97340</v>
      </c>
      <c r="X171" s="315">
        <v>1.1000000000000001</v>
      </c>
      <c r="Y171" s="185">
        <v>1284888.0000000002</v>
      </c>
      <c r="Z171" s="318"/>
      <c r="AA171" s="318"/>
      <c r="AB171" s="318"/>
      <c r="AC171" s="318"/>
      <c r="AD171" s="318"/>
      <c r="AE171" s="318"/>
      <c r="AF171" s="318"/>
      <c r="AG171" s="318"/>
      <c r="AH171" s="318"/>
      <c r="AI171" s="318"/>
      <c r="AJ171" s="199">
        <f t="shared" si="249"/>
        <v>1</v>
      </c>
      <c r="AK171" s="831">
        <v>1284888.0000000002</v>
      </c>
      <c r="AL171" s="1053"/>
      <c r="AM171" s="1052"/>
      <c r="AN171" s="1052"/>
      <c r="AO171" s="184"/>
      <c r="AP171" s="318">
        <f t="shared" si="275"/>
        <v>8016</v>
      </c>
      <c r="AQ171" s="318">
        <f t="shared" si="276"/>
        <v>744</v>
      </c>
      <c r="AR171" s="318">
        <f t="shared" si="277"/>
        <v>8760</v>
      </c>
      <c r="AS171" s="1112"/>
      <c r="AT171" s="836">
        <v>146</v>
      </c>
      <c r="AU171" s="1102"/>
      <c r="AV171" s="836">
        <f t="shared" si="253"/>
        <v>1278960</v>
      </c>
      <c r="AW171" s="1096"/>
      <c r="AX171" s="1096"/>
      <c r="AY171" s="1096"/>
      <c r="AZ171" s="1107"/>
      <c r="BA171" s="1103"/>
      <c r="BB171" s="959"/>
      <c r="BC171" s="839"/>
      <c r="BD171" s="839"/>
      <c r="BE171" s="839"/>
      <c r="BF171" s="839"/>
      <c r="BG171" s="839"/>
      <c r="BH171" s="839"/>
    </row>
    <row r="172" spans="1:61" s="183" customFormat="1" ht="18.75" customHeight="1" x14ac:dyDescent="0.2">
      <c r="A172" s="1066"/>
      <c r="B172" s="1066"/>
      <c r="C172" s="1074"/>
      <c r="D172" s="737" t="s">
        <v>423</v>
      </c>
      <c r="E172" s="318"/>
      <c r="F172" s="199"/>
      <c r="G172" s="199"/>
      <c r="H172" s="659"/>
      <c r="I172" s="199"/>
      <c r="J172" s="674"/>
      <c r="K172" s="200"/>
      <c r="L172" s="673"/>
      <c r="M172" s="200"/>
      <c r="N172" s="185"/>
      <c r="O172" s="658" t="s">
        <v>319</v>
      </c>
      <c r="P172" s="731">
        <v>0.5</v>
      </c>
      <c r="Q172" s="199"/>
      <c r="R172" s="658"/>
      <c r="S172" s="199"/>
      <c r="T172" s="658"/>
      <c r="U172" s="200">
        <v>95430</v>
      </c>
      <c r="V172" s="673"/>
      <c r="W172" s="200">
        <v>97340</v>
      </c>
      <c r="X172" s="315">
        <v>1</v>
      </c>
      <c r="Y172" s="185">
        <v>584040</v>
      </c>
      <c r="Z172" s="318"/>
      <c r="AA172" s="318"/>
      <c r="AB172" s="318"/>
      <c r="AC172" s="318"/>
      <c r="AD172" s="318"/>
      <c r="AE172" s="318"/>
      <c r="AF172" s="318"/>
      <c r="AG172" s="318"/>
      <c r="AH172" s="318"/>
      <c r="AI172" s="318"/>
      <c r="AJ172" s="731">
        <f t="shared" si="249"/>
        <v>0.5</v>
      </c>
      <c r="AK172" s="831">
        <v>584040</v>
      </c>
      <c r="AL172" s="1053"/>
      <c r="AM172" s="1052"/>
      <c r="AN172" s="1052"/>
      <c r="AO172" s="184"/>
      <c r="AP172" s="874">
        <f>12*(365-31)*1</f>
        <v>4008</v>
      </c>
      <c r="AQ172" s="874">
        <f>12*31</f>
        <v>372</v>
      </c>
      <c r="AR172" s="874">
        <f t="shared" si="277"/>
        <v>4380</v>
      </c>
      <c r="AS172" s="1112"/>
      <c r="AT172" s="836">
        <v>133</v>
      </c>
      <c r="AU172" s="1102"/>
      <c r="AV172" s="836">
        <f t="shared" si="253"/>
        <v>582540</v>
      </c>
      <c r="AW172" s="1096"/>
      <c r="AX172" s="1096"/>
      <c r="AY172" s="1096"/>
      <c r="AZ172" s="1108"/>
      <c r="BA172" s="1103"/>
      <c r="BB172" s="959"/>
      <c r="BC172" s="839"/>
      <c r="BD172" s="839"/>
      <c r="BE172" s="839"/>
      <c r="BF172" s="839"/>
      <c r="BG172" s="839"/>
      <c r="BH172" s="839"/>
    </row>
    <row r="173" spans="1:61" s="183" customFormat="1" ht="18.75" customHeight="1" x14ac:dyDescent="0.2">
      <c r="A173" s="1065">
        <v>44</v>
      </c>
      <c r="B173" s="1065">
        <v>13</v>
      </c>
      <c r="C173" s="1073" t="s">
        <v>419</v>
      </c>
      <c r="D173" s="737" t="s">
        <v>424</v>
      </c>
      <c r="E173" s="318"/>
      <c r="F173" s="199"/>
      <c r="G173" s="199"/>
      <c r="H173" s="659"/>
      <c r="I173" s="199"/>
      <c r="J173" s="674"/>
      <c r="K173" s="200"/>
      <c r="L173" s="673"/>
      <c r="M173" s="200"/>
      <c r="N173" s="185"/>
      <c r="O173" s="658" t="s">
        <v>319</v>
      </c>
      <c r="P173" s="199">
        <v>1</v>
      </c>
      <c r="Q173" s="199"/>
      <c r="R173" s="658"/>
      <c r="S173" s="199"/>
      <c r="T173" s="658"/>
      <c r="U173" s="200">
        <v>95430</v>
      </c>
      <c r="V173" s="673"/>
      <c r="W173" s="200">
        <v>97340</v>
      </c>
      <c r="X173" s="315">
        <v>1.1000000000000001</v>
      </c>
      <c r="Y173" s="185">
        <v>1284888.0000000002</v>
      </c>
      <c r="Z173" s="318"/>
      <c r="AA173" s="318"/>
      <c r="AB173" s="318"/>
      <c r="AC173" s="318"/>
      <c r="AD173" s="318"/>
      <c r="AE173" s="318"/>
      <c r="AF173" s="318"/>
      <c r="AG173" s="318"/>
      <c r="AH173" s="318"/>
      <c r="AI173" s="318"/>
      <c r="AJ173" s="199">
        <f t="shared" si="249"/>
        <v>1</v>
      </c>
      <c r="AK173" s="831">
        <v>1284888.0000000002</v>
      </c>
      <c r="AL173" s="1053">
        <f>AK173+AK174</f>
        <v>1868928.0000000002</v>
      </c>
      <c r="AM173" s="1052">
        <f>AL173/12*11</f>
        <v>1713184.0000000002</v>
      </c>
      <c r="AN173" s="1052">
        <f>AL173/12</f>
        <v>155744.00000000003</v>
      </c>
      <c r="AO173" s="184"/>
      <c r="AP173" s="318">
        <f t="shared" ref="AP173" si="285">24*(365-31)*1</f>
        <v>8016</v>
      </c>
      <c r="AQ173" s="318">
        <f t="shared" ref="AQ173" si="286">24*31</f>
        <v>744</v>
      </c>
      <c r="AR173" s="318">
        <f t="shared" ref="AR173:AR174" si="287">SUM(AP173:AQ173)</f>
        <v>8760</v>
      </c>
      <c r="AS173" s="1112">
        <f>AR173+AR174</f>
        <v>13140</v>
      </c>
      <c r="AT173" s="836">
        <v>146</v>
      </c>
      <c r="AU173" s="1102">
        <v>141</v>
      </c>
      <c r="AV173" s="836">
        <f t="shared" si="253"/>
        <v>1278960</v>
      </c>
      <c r="AW173" s="1096">
        <f>AS173*AU173</f>
        <v>1852740</v>
      </c>
      <c r="AX173" s="1096">
        <f>AU173*(AP173+AP174)</f>
        <v>1695384</v>
      </c>
      <c r="AY173" s="1096">
        <f>AW173-AX173</f>
        <v>157356</v>
      </c>
      <c r="AZ173" s="1097">
        <f>AW173-AX173-AY173</f>
        <v>0</v>
      </c>
      <c r="BA173" s="1103">
        <f>AW173-AL173</f>
        <v>-16188.000000000233</v>
      </c>
      <c r="BB173" s="959">
        <v>2</v>
      </c>
      <c r="BC173" s="617">
        <f>AS173*AU173</f>
        <v>1852740</v>
      </c>
      <c r="BD173" s="617">
        <f>(AP173+AP174)*AU173</f>
        <v>1695384</v>
      </c>
      <c r="BE173" s="617">
        <f>BC173-BD173</f>
        <v>157356</v>
      </c>
      <c r="BF173" s="839"/>
      <c r="BG173" s="838">
        <f t="shared" ref="BG173" si="288">BC173-AW173</f>
        <v>0</v>
      </c>
      <c r="BH173" s="838">
        <f t="shared" ref="BH173" si="289">BD173-AX173</f>
        <v>0</v>
      </c>
      <c r="BI173" s="838">
        <f t="shared" ref="BI173" si="290">BE173-AY173</f>
        <v>0</v>
      </c>
    </row>
    <row r="174" spans="1:61" s="183" customFormat="1" ht="18.75" customHeight="1" x14ac:dyDescent="0.2">
      <c r="A174" s="1066"/>
      <c r="B174" s="1066"/>
      <c r="C174" s="1074"/>
      <c r="D174" s="737" t="s">
        <v>424</v>
      </c>
      <c r="E174" s="318"/>
      <c r="F174" s="199"/>
      <c r="G174" s="199"/>
      <c r="H174" s="659"/>
      <c r="I174" s="199"/>
      <c r="J174" s="674"/>
      <c r="K174" s="200"/>
      <c r="L174" s="673"/>
      <c r="M174" s="200"/>
      <c r="N174" s="185"/>
      <c r="O174" s="658" t="s">
        <v>319</v>
      </c>
      <c r="P174" s="731">
        <v>0.5</v>
      </c>
      <c r="Q174" s="199"/>
      <c r="R174" s="658"/>
      <c r="S174" s="199"/>
      <c r="T174" s="658"/>
      <c r="U174" s="200">
        <v>95430</v>
      </c>
      <c r="V174" s="673"/>
      <c r="W174" s="200">
        <v>97340</v>
      </c>
      <c r="X174" s="315">
        <v>1</v>
      </c>
      <c r="Y174" s="185">
        <v>584040</v>
      </c>
      <c r="Z174" s="318"/>
      <c r="AA174" s="318"/>
      <c r="AB174" s="318"/>
      <c r="AC174" s="318"/>
      <c r="AD174" s="318"/>
      <c r="AE174" s="318"/>
      <c r="AF174" s="318"/>
      <c r="AG174" s="318"/>
      <c r="AH174" s="318"/>
      <c r="AI174" s="318"/>
      <c r="AJ174" s="731">
        <f t="shared" si="249"/>
        <v>0.5</v>
      </c>
      <c r="AK174" s="831">
        <v>584040</v>
      </c>
      <c r="AL174" s="1053"/>
      <c r="AM174" s="1052"/>
      <c r="AN174" s="1052"/>
      <c r="AO174" s="184"/>
      <c r="AP174" s="874">
        <f>12*(365-31)*1</f>
        <v>4008</v>
      </c>
      <c r="AQ174" s="874">
        <f>12*31</f>
        <v>372</v>
      </c>
      <c r="AR174" s="874">
        <f t="shared" si="287"/>
        <v>4380</v>
      </c>
      <c r="AS174" s="1112"/>
      <c r="AT174" s="836">
        <v>133</v>
      </c>
      <c r="AU174" s="1102"/>
      <c r="AV174" s="836">
        <f t="shared" si="253"/>
        <v>582540</v>
      </c>
      <c r="AW174" s="1096"/>
      <c r="AX174" s="1096"/>
      <c r="AY174" s="1096"/>
      <c r="AZ174" s="1097"/>
      <c r="BA174" s="1103"/>
      <c r="BB174" s="959"/>
      <c r="BC174" s="617"/>
      <c r="BD174" s="617"/>
      <c r="BE174" s="617"/>
      <c r="BF174" s="839"/>
      <c r="BG174" s="838"/>
      <c r="BH174" s="838"/>
      <c r="BI174" s="838"/>
    </row>
    <row r="175" spans="1:61" s="775" customFormat="1" ht="18.75" customHeight="1" x14ac:dyDescent="0.2">
      <c r="A175" s="768"/>
      <c r="B175" s="768"/>
      <c r="C175" s="769" t="s">
        <v>1</v>
      </c>
      <c r="D175" s="770"/>
      <c r="E175" s="771"/>
      <c r="F175" s="772">
        <f>SUM(F141:F174)</f>
        <v>21</v>
      </c>
      <c r="G175" s="772"/>
      <c r="H175" s="772"/>
      <c r="I175" s="772"/>
      <c r="J175" s="772"/>
      <c r="K175" s="772"/>
      <c r="L175" s="772"/>
      <c r="M175" s="772"/>
      <c r="N175" s="772">
        <f>SUM(N141:N174)</f>
        <v>19940760</v>
      </c>
      <c r="O175" s="772"/>
      <c r="P175" s="772">
        <f>SUM(P141:P174)</f>
        <v>10</v>
      </c>
      <c r="Q175" s="772"/>
      <c r="R175" s="772"/>
      <c r="S175" s="772"/>
      <c r="T175" s="772"/>
      <c r="U175" s="772"/>
      <c r="V175" s="772"/>
      <c r="W175" s="773"/>
      <c r="X175" s="772"/>
      <c r="Y175" s="772">
        <f>SUM(Y141:Y174)</f>
        <v>12629568</v>
      </c>
      <c r="Z175" s="772"/>
      <c r="AA175" s="772">
        <f>SUM(AA141:AA174)</f>
        <v>0</v>
      </c>
      <c r="AB175" s="772"/>
      <c r="AC175" s="772"/>
      <c r="AD175" s="772"/>
      <c r="AE175" s="772"/>
      <c r="AF175" s="772"/>
      <c r="AG175" s="772"/>
      <c r="AH175" s="772"/>
      <c r="AI175" s="772">
        <f t="shared" ref="AI175:AS175" si="291">SUM(AI141:AI174)</f>
        <v>0</v>
      </c>
      <c r="AJ175" s="772">
        <f t="shared" si="291"/>
        <v>31</v>
      </c>
      <c r="AK175" s="879">
        <f t="shared" si="291"/>
        <v>32570328</v>
      </c>
      <c r="AL175" s="813">
        <f t="shared" si="291"/>
        <v>32570328</v>
      </c>
      <c r="AM175" s="879">
        <f t="shared" si="291"/>
        <v>29856134</v>
      </c>
      <c r="AN175" s="879">
        <f t="shared" si="291"/>
        <v>2714194</v>
      </c>
      <c r="AO175" s="774"/>
      <c r="AP175" s="771">
        <f t="shared" si="291"/>
        <v>248496</v>
      </c>
      <c r="AQ175" s="771">
        <f t="shared" si="291"/>
        <v>23064</v>
      </c>
      <c r="AR175" s="771">
        <f t="shared" si="291"/>
        <v>271560</v>
      </c>
      <c r="AS175" s="928">
        <f t="shared" si="291"/>
        <v>271560</v>
      </c>
      <c r="AT175" s="822">
        <f>AV175/AR175</f>
        <v>119.45161290322581</v>
      </c>
      <c r="AU175" s="944">
        <f>AW175/AS175</f>
        <v>119.93548387096774</v>
      </c>
      <c r="AV175" s="859">
        <f t="shared" ref="AV175" si="292">SUM(AV141:AV174)</f>
        <v>32438280</v>
      </c>
      <c r="AW175" s="887">
        <f t="shared" ref="AW175" si="293">SUM(AW141:AW174)</f>
        <v>32569680</v>
      </c>
      <c r="AX175" s="887">
        <f t="shared" ref="AX175" si="294">SUM(AX141:AX174)</f>
        <v>29809515</v>
      </c>
      <c r="AY175" s="887">
        <f t="shared" ref="AY175" si="295">SUM(AY141:AY174)</f>
        <v>2760165</v>
      </c>
      <c r="AZ175" s="848"/>
      <c r="BA175" s="183"/>
      <c r="BB175" s="961"/>
      <c r="BC175" s="970">
        <f t="shared" ref="BC175" si="296">AS175*AU175</f>
        <v>32569680</v>
      </c>
      <c r="BD175" s="979">
        <f>(AP175)*AU175</f>
        <v>29803488</v>
      </c>
      <c r="BE175" s="979">
        <f t="shared" ref="BE175" si="297">BC175-BD175</f>
        <v>2766192</v>
      </c>
      <c r="BF175" s="970"/>
      <c r="BG175" s="970">
        <f t="shared" ref="BG175" si="298">BC175-AW175</f>
        <v>0</v>
      </c>
      <c r="BH175" s="970">
        <f t="shared" ref="BH175" si="299">BD175-AX175</f>
        <v>-6027</v>
      </c>
      <c r="BI175" s="970">
        <f t="shared" ref="BI175" si="300">BE175-AY175</f>
        <v>6027</v>
      </c>
    </row>
    <row r="176" spans="1:61" s="801" customFormat="1" ht="18.75" customHeight="1" x14ac:dyDescent="0.2">
      <c r="A176" s="796"/>
      <c r="B176" s="796"/>
      <c r="C176" s="797" t="s">
        <v>0</v>
      </c>
      <c r="D176" s="798"/>
      <c r="E176" s="799"/>
      <c r="F176" s="800">
        <f>F139+F175</f>
        <v>34</v>
      </c>
      <c r="G176" s="800"/>
      <c r="H176" s="800"/>
      <c r="I176" s="800"/>
      <c r="J176" s="800"/>
      <c r="K176" s="800"/>
      <c r="L176" s="800"/>
      <c r="M176" s="800"/>
      <c r="N176" s="800">
        <f>N139+N175</f>
        <v>32212080</v>
      </c>
      <c r="O176" s="800"/>
      <c r="P176" s="800">
        <f>P139+P175</f>
        <v>10</v>
      </c>
      <c r="Q176" s="800"/>
      <c r="R176" s="800"/>
      <c r="S176" s="800"/>
      <c r="T176" s="800"/>
      <c r="U176" s="800"/>
      <c r="V176" s="800"/>
      <c r="W176" s="800"/>
      <c r="X176" s="800"/>
      <c r="Y176" s="800">
        <f>Y139+Y175</f>
        <v>12629568</v>
      </c>
      <c r="Z176" s="800"/>
      <c r="AA176" s="800">
        <f>AA139+AA175</f>
        <v>0</v>
      </c>
      <c r="AB176" s="800"/>
      <c r="AC176" s="800"/>
      <c r="AD176" s="800"/>
      <c r="AE176" s="800"/>
      <c r="AF176" s="800"/>
      <c r="AG176" s="800"/>
      <c r="AH176" s="800"/>
      <c r="AI176" s="800">
        <f t="shared" ref="AI176:AS176" si="301">AI139+AI175</f>
        <v>0</v>
      </c>
      <c r="AJ176" s="800">
        <f t="shared" si="301"/>
        <v>44</v>
      </c>
      <c r="AK176" s="883">
        <f t="shared" si="301"/>
        <v>44841648</v>
      </c>
      <c r="AL176" s="818">
        <f t="shared" si="301"/>
        <v>44841648</v>
      </c>
      <c r="AM176" s="883">
        <f t="shared" si="301"/>
        <v>41104844</v>
      </c>
      <c r="AN176" s="883">
        <f t="shared" si="301"/>
        <v>3736804</v>
      </c>
      <c r="AP176" s="799">
        <f t="shared" si="301"/>
        <v>352704</v>
      </c>
      <c r="AQ176" s="799">
        <f t="shared" si="301"/>
        <v>32736</v>
      </c>
      <c r="AR176" s="799">
        <f t="shared" si="301"/>
        <v>385440</v>
      </c>
      <c r="AS176" s="928">
        <f t="shared" si="301"/>
        <v>385440</v>
      </c>
      <c r="AT176" s="828">
        <f>AV176/AR176</f>
        <v>115.88636363636364</v>
      </c>
      <c r="AU176" s="944">
        <f>AW176/AS176</f>
        <v>116.29545454545455</v>
      </c>
      <c r="AV176" s="863">
        <f t="shared" ref="AV176" si="302">AV139+AV175</f>
        <v>44667240</v>
      </c>
      <c r="AW176" s="892">
        <f t="shared" ref="AW176" si="303">AW139+AW175</f>
        <v>44824920</v>
      </c>
      <c r="AX176" s="892">
        <f t="shared" ref="AX176" si="304">AX139+AX175</f>
        <v>41023899</v>
      </c>
      <c r="AY176" s="892">
        <f t="shared" ref="AY176" si="305">AY139+AY175</f>
        <v>3801021</v>
      </c>
      <c r="AZ176" s="855"/>
      <c r="BA176" s="183"/>
      <c r="BB176" s="967"/>
      <c r="BC176" s="978">
        <f t="shared" ref="BC176:BE176" si="306">BC139+BC175</f>
        <v>44824920</v>
      </c>
      <c r="BD176" s="979">
        <f t="shared" si="306"/>
        <v>41017872</v>
      </c>
      <c r="BE176" s="979">
        <f t="shared" si="306"/>
        <v>3807048</v>
      </c>
      <c r="BF176" s="978"/>
      <c r="BG176" s="978">
        <f t="shared" ref="BG176" si="307">BC176-AW176</f>
        <v>0</v>
      </c>
      <c r="BH176" s="978">
        <f t="shared" ref="BH176" si="308">BD176-AX176</f>
        <v>-6027</v>
      </c>
      <c r="BI176" s="978">
        <f t="shared" ref="BI176" si="309">BE176-AY176</f>
        <v>6027</v>
      </c>
    </row>
    <row r="177" spans="1:61" s="184" customFormat="1" ht="18.75" customHeight="1" x14ac:dyDescent="0.2">
      <c r="A177" s="689"/>
      <c r="B177" s="689"/>
      <c r="C177" s="752"/>
      <c r="D177" s="741"/>
      <c r="E177" s="753"/>
      <c r="F177" s="754"/>
      <c r="G177" s="608"/>
      <c r="H177" s="755"/>
      <c r="I177" s="756"/>
      <c r="J177" s="757"/>
      <c r="K177" s="234"/>
      <c r="L177" s="758"/>
      <c r="M177" s="234"/>
      <c r="N177" s="233"/>
      <c r="O177" s="753"/>
      <c r="P177" s="754"/>
      <c r="Q177" s="754"/>
      <c r="R177" s="754"/>
      <c r="S177" s="754"/>
      <c r="T177" s="759"/>
      <c r="U177" s="234"/>
      <c r="V177" s="758"/>
      <c r="W177" s="234"/>
      <c r="X177" s="759"/>
      <c r="Y177" s="233"/>
      <c r="Z177" s="754"/>
      <c r="AA177" s="754"/>
      <c r="AB177" s="754"/>
      <c r="AC177" s="754"/>
      <c r="AD177" s="754"/>
      <c r="AE177" s="754"/>
      <c r="AF177" s="759"/>
      <c r="AG177" s="759"/>
      <c r="AH177" s="759"/>
      <c r="AI177" s="760"/>
      <c r="AJ177" s="760"/>
      <c r="AK177" s="760"/>
      <c r="AL177" s="200"/>
      <c r="AM177" s="199"/>
      <c r="AN177" s="199"/>
      <c r="AP177" s="857"/>
      <c r="AQ177" s="857"/>
      <c r="AR177" s="857"/>
      <c r="AS177" s="935"/>
      <c r="AT177" s="845"/>
      <c r="AU177" s="952"/>
      <c r="AV177" s="845"/>
      <c r="AW177" s="200"/>
      <c r="AX177" s="200"/>
      <c r="AY177" s="200"/>
      <c r="AZ177" s="850"/>
      <c r="BA177" s="183"/>
      <c r="BB177" s="959"/>
      <c r="BC177" s="838"/>
      <c r="BD177" s="838"/>
      <c r="BE177" s="838"/>
      <c r="BF177" s="838"/>
      <c r="BG177" s="838"/>
      <c r="BH177" s="838"/>
    </row>
    <row r="178" spans="1:61" s="687" customFormat="1" ht="82.5" customHeight="1" x14ac:dyDescent="0.2">
      <c r="A178" s="808">
        <v>4</v>
      </c>
      <c r="B178" s="1086" t="s">
        <v>436</v>
      </c>
      <c r="C178" s="1087"/>
      <c r="D178" s="1088"/>
      <c r="E178" s="746"/>
      <c r="F178" s="746"/>
      <c r="G178" s="746"/>
      <c r="H178" s="678"/>
      <c r="I178" s="746"/>
      <c r="J178" s="678"/>
      <c r="K178" s="679"/>
      <c r="L178" s="678"/>
      <c r="M178" s="679"/>
      <c r="N178" s="747"/>
      <c r="O178" s="746"/>
      <c r="P178" s="746"/>
      <c r="Q178" s="746"/>
      <c r="R178" s="678"/>
      <c r="S178" s="746"/>
      <c r="T178" s="678"/>
      <c r="U178" s="679"/>
      <c r="V178" s="678"/>
      <c r="W178" s="679"/>
      <c r="X178" s="746"/>
      <c r="Y178" s="747"/>
      <c r="Z178" s="746"/>
      <c r="AA178" s="746"/>
      <c r="AB178" s="746"/>
      <c r="AC178" s="678"/>
      <c r="AD178" s="746"/>
      <c r="AE178" s="678"/>
      <c r="AF178" s="679"/>
      <c r="AG178" s="678"/>
      <c r="AH178" s="679"/>
      <c r="AI178" s="747"/>
      <c r="AJ178" s="747"/>
      <c r="AK178" s="899"/>
      <c r="AL178" s="809"/>
      <c r="AM178" s="877"/>
      <c r="AN178" s="877"/>
      <c r="AP178" s="873"/>
      <c r="AQ178" s="873"/>
      <c r="AR178" s="873"/>
      <c r="AS178" s="934"/>
      <c r="AT178" s="844"/>
      <c r="AU178" s="951"/>
      <c r="AV178" s="915"/>
      <c r="AW178" s="809"/>
      <c r="AX178" s="809"/>
      <c r="AY178" s="809"/>
      <c r="AZ178" s="851"/>
      <c r="BA178" s="894"/>
      <c r="BB178" s="958"/>
      <c r="BC178" s="867"/>
      <c r="BD178" s="867"/>
      <c r="BE178" s="867"/>
      <c r="BF178" s="867"/>
      <c r="BG178" s="867"/>
      <c r="BH178" s="867"/>
    </row>
    <row r="179" spans="1:61" s="196" customFormat="1" x14ac:dyDescent="0.2">
      <c r="B179" s="1072" t="s">
        <v>146</v>
      </c>
      <c r="C179" s="1072"/>
      <c r="D179" s="1072"/>
      <c r="E179" s="1072"/>
      <c r="F179" s="1072"/>
      <c r="G179" s="208"/>
      <c r="H179" s="656"/>
      <c r="I179" s="208"/>
      <c r="J179" s="656"/>
      <c r="K179" s="664"/>
      <c r="L179" s="664"/>
      <c r="M179" s="664"/>
      <c r="N179" s="657"/>
      <c r="O179" s="688"/>
      <c r="P179" s="179"/>
      <c r="Q179" s="179"/>
      <c r="R179" s="179"/>
      <c r="S179" s="179"/>
      <c r="T179" s="194"/>
      <c r="U179" s="194"/>
      <c r="V179" s="194"/>
      <c r="W179" s="194"/>
      <c r="X179" s="670"/>
      <c r="Y179" s="657"/>
      <c r="Z179" s="194"/>
      <c r="AA179" s="194"/>
      <c r="AB179" s="194"/>
      <c r="AC179" s="194"/>
      <c r="AD179" s="194"/>
      <c r="AE179" s="194"/>
      <c r="AF179" s="194"/>
      <c r="AG179" s="194"/>
      <c r="AH179" s="194"/>
      <c r="AI179" s="657"/>
      <c r="AJ179" s="657"/>
      <c r="AK179" s="832"/>
      <c r="AL179" s="545"/>
      <c r="AM179" s="622"/>
      <c r="AN179" s="622"/>
      <c r="AP179" s="453"/>
      <c r="AQ179" s="453"/>
      <c r="AR179" s="453"/>
      <c r="AS179" s="924"/>
      <c r="AT179" s="835"/>
      <c r="AU179" s="940"/>
      <c r="AV179" s="837"/>
      <c r="AW179" s="545"/>
      <c r="AX179" s="545"/>
      <c r="AY179" s="545"/>
      <c r="AZ179" s="850"/>
      <c r="BA179" s="183"/>
      <c r="BB179" s="959"/>
      <c r="BC179" s="839"/>
      <c r="BD179" s="839"/>
      <c r="BE179" s="839"/>
      <c r="BF179" s="839"/>
      <c r="BG179" s="839"/>
      <c r="BH179" s="839"/>
    </row>
    <row r="180" spans="1:61" s="184" customFormat="1" ht="18.75" customHeight="1" x14ac:dyDescent="0.2">
      <c r="A180" s="726">
        <v>45</v>
      </c>
      <c r="B180" s="726">
        <v>1</v>
      </c>
      <c r="C180" s="459" t="s">
        <v>402</v>
      </c>
      <c r="D180" s="737" t="s">
        <v>374</v>
      </c>
      <c r="E180" s="658" t="s">
        <v>185</v>
      </c>
      <c r="F180" s="311">
        <v>1</v>
      </c>
      <c r="G180" s="198">
        <v>71700</v>
      </c>
      <c r="H180" s="709">
        <v>1.04</v>
      </c>
      <c r="I180" s="453">
        <v>74570</v>
      </c>
      <c r="J180" s="671">
        <v>1.0403</v>
      </c>
      <c r="K180" s="200">
        <v>77580</v>
      </c>
      <c r="L180" s="673">
        <v>1.02</v>
      </c>
      <c r="M180" s="200">
        <v>79130</v>
      </c>
      <c r="N180" s="185">
        <v>949560</v>
      </c>
      <c r="O180" s="710"/>
      <c r="P180" s="311"/>
      <c r="Q180" s="311"/>
      <c r="R180" s="311"/>
      <c r="S180" s="311"/>
      <c r="T180" s="315"/>
      <c r="U180" s="315"/>
      <c r="V180" s="315"/>
      <c r="W180" s="315"/>
      <c r="X180" s="315"/>
      <c r="Y180" s="199"/>
      <c r="Z180" s="311"/>
      <c r="AA180" s="311"/>
      <c r="AB180" s="311"/>
      <c r="AC180" s="311"/>
      <c r="AD180" s="311"/>
      <c r="AE180" s="311"/>
      <c r="AF180" s="315"/>
      <c r="AG180" s="315"/>
      <c r="AH180" s="315"/>
      <c r="AI180" s="199"/>
      <c r="AJ180" s="199">
        <f t="shared" ref="AJ180:AJ191" si="310">F180+P180+AA180</f>
        <v>1</v>
      </c>
      <c r="AK180" s="831">
        <v>949560</v>
      </c>
      <c r="AL180" s="200">
        <f>AK180</f>
        <v>949560</v>
      </c>
      <c r="AM180" s="199">
        <f>AL180/12*11</f>
        <v>870430</v>
      </c>
      <c r="AN180" s="199">
        <f>AL180/12</f>
        <v>79130</v>
      </c>
      <c r="AP180" s="318">
        <f t="shared" ref="AP180:AP191" si="311">24*(365-31)*1</f>
        <v>8016</v>
      </c>
      <c r="AQ180" s="318">
        <f t="shared" ref="AQ180:AQ191" si="312">24*31</f>
        <v>744</v>
      </c>
      <c r="AR180" s="318">
        <f t="shared" ref="AR180:AR191" si="313">SUM(AP180:AQ180)</f>
        <v>8760</v>
      </c>
      <c r="AS180" s="925">
        <f t="shared" ref="AS180" si="314">AR180</f>
        <v>8760</v>
      </c>
      <c r="AT180" s="836">
        <v>108</v>
      </c>
      <c r="AU180" s="941">
        <v>108</v>
      </c>
      <c r="AV180" s="836">
        <f t="shared" ref="AV180:AV191" si="315">AT180*AR180</f>
        <v>946080</v>
      </c>
      <c r="AW180" s="885">
        <f>AV180</f>
        <v>946080</v>
      </c>
      <c r="AX180" s="885">
        <f>AU180*AP180</f>
        <v>865728</v>
      </c>
      <c r="AY180" s="885">
        <f>AW180-AX180</f>
        <v>80352</v>
      </c>
      <c r="AZ180" s="387">
        <f>AW180-AX180-AY180</f>
        <v>0</v>
      </c>
      <c r="BA180" s="596">
        <f>AW180-AL180</f>
        <v>-3480</v>
      </c>
      <c r="BB180" s="959">
        <v>1</v>
      </c>
      <c r="BC180" s="617">
        <f t="shared" ref="BC180" si="316">AS180*AU180</f>
        <v>946080</v>
      </c>
      <c r="BD180" s="617">
        <f t="shared" ref="BD180" si="317">(AP180)*AU180</f>
        <v>865728</v>
      </c>
      <c r="BE180" s="617">
        <f t="shared" ref="BE180" si="318">BC180-BD180</f>
        <v>80352</v>
      </c>
      <c r="BF180" s="838"/>
      <c r="BG180" s="838">
        <f t="shared" ref="BG180:BG181" si="319">BC180-AW180</f>
        <v>0</v>
      </c>
      <c r="BH180" s="838">
        <f t="shared" ref="BH180:BH181" si="320">BD180-AX180</f>
        <v>0</v>
      </c>
      <c r="BI180" s="838">
        <f t="shared" ref="BI180:BI181" si="321">BE180-AY180</f>
        <v>0</v>
      </c>
    </row>
    <row r="181" spans="1:61" s="184" customFormat="1" ht="18.75" customHeight="1" x14ac:dyDescent="0.2">
      <c r="A181" s="1041">
        <v>46</v>
      </c>
      <c r="B181" s="1041">
        <v>2</v>
      </c>
      <c r="C181" s="1042" t="s">
        <v>403</v>
      </c>
      <c r="D181" s="737" t="s">
        <v>375</v>
      </c>
      <c r="E181" s="658" t="s">
        <v>185</v>
      </c>
      <c r="F181" s="311">
        <v>1</v>
      </c>
      <c r="G181" s="198">
        <v>71700</v>
      </c>
      <c r="H181" s="709">
        <v>1.04</v>
      </c>
      <c r="I181" s="453">
        <v>74570</v>
      </c>
      <c r="J181" s="671">
        <v>1.0403</v>
      </c>
      <c r="K181" s="200">
        <v>77580</v>
      </c>
      <c r="L181" s="673">
        <v>1.02</v>
      </c>
      <c r="M181" s="200">
        <v>79130</v>
      </c>
      <c r="N181" s="185">
        <v>949560</v>
      </c>
      <c r="O181" s="710"/>
      <c r="P181" s="311"/>
      <c r="Q181" s="311"/>
      <c r="R181" s="311"/>
      <c r="S181" s="311"/>
      <c r="T181" s="315"/>
      <c r="U181" s="315"/>
      <c r="V181" s="315"/>
      <c r="W181" s="315"/>
      <c r="X181" s="315"/>
      <c r="Y181" s="199"/>
      <c r="Z181" s="311"/>
      <c r="AA181" s="311"/>
      <c r="AB181" s="311"/>
      <c r="AC181" s="311"/>
      <c r="AD181" s="311"/>
      <c r="AE181" s="311"/>
      <c r="AF181" s="315"/>
      <c r="AG181" s="315"/>
      <c r="AH181" s="315"/>
      <c r="AI181" s="199"/>
      <c r="AJ181" s="199">
        <f t="shared" si="310"/>
        <v>1</v>
      </c>
      <c r="AK181" s="831">
        <v>949560</v>
      </c>
      <c r="AL181" s="1053">
        <f>AK181+AK182</f>
        <v>1899120</v>
      </c>
      <c r="AM181" s="1052">
        <f>AL181/12*11</f>
        <v>1740860</v>
      </c>
      <c r="AN181" s="1052">
        <f>AL181/12</f>
        <v>158260</v>
      </c>
      <c r="AP181" s="318">
        <f t="shared" si="311"/>
        <v>8016</v>
      </c>
      <c r="AQ181" s="318">
        <f t="shared" si="312"/>
        <v>744</v>
      </c>
      <c r="AR181" s="318">
        <f t="shared" si="313"/>
        <v>8760</v>
      </c>
      <c r="AS181" s="1112">
        <f>AR181+AR182</f>
        <v>17520</v>
      </c>
      <c r="AT181" s="836">
        <v>108</v>
      </c>
      <c r="AU181" s="1102">
        <v>108</v>
      </c>
      <c r="AV181" s="836">
        <f t="shared" si="315"/>
        <v>946080</v>
      </c>
      <c r="AW181" s="1096">
        <f>AU181*AS181</f>
        <v>1892160</v>
      </c>
      <c r="AX181" s="1096">
        <f>AU181*(AP181+AP182)</f>
        <v>1731456</v>
      </c>
      <c r="AY181" s="1096">
        <f>AW181-AX181</f>
        <v>160704</v>
      </c>
      <c r="AZ181" s="1097">
        <f>AW181-AX181-AY181</f>
        <v>0</v>
      </c>
      <c r="BA181" s="1103">
        <f>AW181-AL181</f>
        <v>-6960</v>
      </c>
      <c r="BB181" s="959">
        <v>2</v>
      </c>
      <c r="BC181" s="617">
        <f>AS181*AU181</f>
        <v>1892160</v>
      </c>
      <c r="BD181" s="617">
        <f>(AP181+AP182)*AU181</f>
        <v>1731456</v>
      </c>
      <c r="BE181" s="617">
        <f>BC181-BD181</f>
        <v>160704</v>
      </c>
      <c r="BF181" s="839"/>
      <c r="BG181" s="838">
        <f t="shared" si="319"/>
        <v>0</v>
      </c>
      <c r="BH181" s="838">
        <f t="shared" si="320"/>
        <v>0</v>
      </c>
      <c r="BI181" s="838">
        <f t="shared" si="321"/>
        <v>0</v>
      </c>
    </row>
    <row r="182" spans="1:61" s="184" customFormat="1" ht="18.75" customHeight="1" x14ac:dyDescent="0.2">
      <c r="A182" s="1041"/>
      <c r="B182" s="1041"/>
      <c r="C182" s="1042"/>
      <c r="D182" s="737" t="s">
        <v>378</v>
      </c>
      <c r="E182" s="658" t="s">
        <v>185</v>
      </c>
      <c r="F182" s="311">
        <v>1</v>
      </c>
      <c r="G182" s="198">
        <v>71700</v>
      </c>
      <c r="H182" s="709">
        <v>1.04</v>
      </c>
      <c r="I182" s="453">
        <v>74570</v>
      </c>
      <c r="J182" s="671">
        <v>1.0403</v>
      </c>
      <c r="K182" s="200">
        <v>77580</v>
      </c>
      <c r="L182" s="673">
        <v>1.02</v>
      </c>
      <c r="M182" s="200">
        <v>79130</v>
      </c>
      <c r="N182" s="185">
        <v>949560</v>
      </c>
      <c r="O182" s="710"/>
      <c r="P182" s="311"/>
      <c r="Q182" s="311"/>
      <c r="R182" s="311"/>
      <c r="S182" s="311"/>
      <c r="T182" s="315"/>
      <c r="U182" s="315"/>
      <c r="V182" s="315"/>
      <c r="W182" s="315"/>
      <c r="X182" s="315"/>
      <c r="Y182" s="199"/>
      <c r="Z182" s="311"/>
      <c r="AA182" s="311"/>
      <c r="AB182" s="311"/>
      <c r="AC182" s="311"/>
      <c r="AD182" s="311"/>
      <c r="AE182" s="311"/>
      <c r="AF182" s="315"/>
      <c r="AG182" s="315"/>
      <c r="AH182" s="315"/>
      <c r="AI182" s="199"/>
      <c r="AJ182" s="199">
        <f t="shared" si="310"/>
        <v>1</v>
      </c>
      <c r="AK182" s="831">
        <v>949560</v>
      </c>
      <c r="AL182" s="1053"/>
      <c r="AM182" s="1052"/>
      <c r="AN182" s="1052"/>
      <c r="AP182" s="318">
        <f t="shared" si="311"/>
        <v>8016</v>
      </c>
      <c r="AQ182" s="318">
        <f t="shared" si="312"/>
        <v>744</v>
      </c>
      <c r="AR182" s="318">
        <f t="shared" si="313"/>
        <v>8760</v>
      </c>
      <c r="AS182" s="1112"/>
      <c r="AT182" s="836">
        <v>108</v>
      </c>
      <c r="AU182" s="1102"/>
      <c r="AV182" s="836">
        <f t="shared" si="315"/>
        <v>946080</v>
      </c>
      <c r="AW182" s="1096"/>
      <c r="AX182" s="1096"/>
      <c r="AY182" s="1096"/>
      <c r="AZ182" s="1097"/>
      <c r="BA182" s="1103"/>
      <c r="BB182" s="959"/>
      <c r="BC182" s="838"/>
      <c r="BD182" s="838"/>
      <c r="BE182" s="838"/>
      <c r="BF182" s="838"/>
      <c r="BG182" s="838"/>
      <c r="BH182" s="838"/>
    </row>
    <row r="183" spans="1:61" s="184" customFormat="1" ht="18.75" customHeight="1" x14ac:dyDescent="0.2">
      <c r="A183" s="726">
        <v>47</v>
      </c>
      <c r="B183" s="726">
        <v>3</v>
      </c>
      <c r="C183" s="459" t="s">
        <v>404</v>
      </c>
      <c r="D183" s="737" t="s">
        <v>376</v>
      </c>
      <c r="E183" s="658" t="s">
        <v>185</v>
      </c>
      <c r="F183" s="311">
        <v>1</v>
      </c>
      <c r="G183" s="198">
        <v>71700</v>
      </c>
      <c r="H183" s="709">
        <v>1.04</v>
      </c>
      <c r="I183" s="453">
        <v>74570</v>
      </c>
      <c r="J183" s="671">
        <v>1.0403</v>
      </c>
      <c r="K183" s="200">
        <v>77580</v>
      </c>
      <c r="L183" s="673">
        <v>1.02</v>
      </c>
      <c r="M183" s="200">
        <v>79130</v>
      </c>
      <c r="N183" s="185">
        <v>949560</v>
      </c>
      <c r="O183" s="710"/>
      <c r="P183" s="311"/>
      <c r="Q183" s="311"/>
      <c r="R183" s="311"/>
      <c r="S183" s="311"/>
      <c r="T183" s="315"/>
      <c r="U183" s="315"/>
      <c r="V183" s="315"/>
      <c r="W183" s="315"/>
      <c r="X183" s="315"/>
      <c r="Y183" s="199"/>
      <c r="Z183" s="311"/>
      <c r="AA183" s="311"/>
      <c r="AB183" s="311"/>
      <c r="AC183" s="311"/>
      <c r="AD183" s="311"/>
      <c r="AE183" s="311"/>
      <c r="AF183" s="315"/>
      <c r="AG183" s="315"/>
      <c r="AH183" s="315"/>
      <c r="AI183" s="199"/>
      <c r="AJ183" s="199">
        <f t="shared" si="310"/>
        <v>1</v>
      </c>
      <c r="AK183" s="831">
        <v>949560</v>
      </c>
      <c r="AL183" s="200">
        <f>AK183</f>
        <v>949560</v>
      </c>
      <c r="AM183" s="199">
        <f>AL183/12*11</f>
        <v>870430</v>
      </c>
      <c r="AN183" s="199">
        <f>AL183/12</f>
        <v>79130</v>
      </c>
      <c r="AP183" s="318">
        <f t="shared" si="311"/>
        <v>8016</v>
      </c>
      <c r="AQ183" s="318">
        <f t="shared" si="312"/>
        <v>744</v>
      </c>
      <c r="AR183" s="318">
        <f t="shared" si="313"/>
        <v>8760</v>
      </c>
      <c r="AS183" s="925">
        <f t="shared" ref="AS183" si="322">AR183</f>
        <v>8760</v>
      </c>
      <c r="AT183" s="836">
        <v>108</v>
      </c>
      <c r="AU183" s="941">
        <v>108</v>
      </c>
      <c r="AV183" s="836">
        <f t="shared" si="315"/>
        <v>946080</v>
      </c>
      <c r="AW183" s="885">
        <f>AV183</f>
        <v>946080</v>
      </c>
      <c r="AX183" s="885">
        <f>AU183*AP183</f>
        <v>865728</v>
      </c>
      <c r="AY183" s="885">
        <f>AW183-AX183</f>
        <v>80352</v>
      </c>
      <c r="AZ183" s="387">
        <f>AW183-AX183-AY183</f>
        <v>0</v>
      </c>
      <c r="BA183" s="596">
        <f>AW183-AL183</f>
        <v>-3480</v>
      </c>
      <c r="BB183" s="959">
        <v>1</v>
      </c>
      <c r="BC183" s="617">
        <f t="shared" ref="BC183" si="323">AS183*AU183</f>
        <v>946080</v>
      </c>
      <c r="BD183" s="617">
        <f t="shared" ref="BD183" si="324">(AP183)*AU183</f>
        <v>865728</v>
      </c>
      <c r="BE183" s="617">
        <f t="shared" ref="BE183" si="325">BC183-BD183</f>
        <v>80352</v>
      </c>
      <c r="BF183" s="838"/>
      <c r="BG183" s="838">
        <f t="shared" ref="BG183:BG184" si="326">BC183-AW183</f>
        <v>0</v>
      </c>
      <c r="BH183" s="838">
        <f t="shared" ref="BH183:BH184" si="327">BD183-AX183</f>
        <v>0</v>
      </c>
      <c r="BI183" s="838">
        <f t="shared" ref="BI183:BI184" si="328">BE183-AY183</f>
        <v>0</v>
      </c>
    </row>
    <row r="184" spans="1:61" s="184" customFormat="1" ht="18.75" customHeight="1" x14ac:dyDescent="0.2">
      <c r="A184" s="1065">
        <v>48</v>
      </c>
      <c r="B184" s="1065">
        <v>4</v>
      </c>
      <c r="C184" s="1073" t="s">
        <v>102</v>
      </c>
      <c r="D184" s="737" t="s">
        <v>377</v>
      </c>
      <c r="E184" s="658" t="s">
        <v>185</v>
      </c>
      <c r="F184" s="311">
        <v>1</v>
      </c>
      <c r="G184" s="198">
        <v>71700</v>
      </c>
      <c r="H184" s="709">
        <v>1.04</v>
      </c>
      <c r="I184" s="453">
        <v>74570</v>
      </c>
      <c r="J184" s="671">
        <v>1.0403</v>
      </c>
      <c r="K184" s="200">
        <v>77580</v>
      </c>
      <c r="L184" s="673">
        <v>1.02</v>
      </c>
      <c r="M184" s="200">
        <v>79130</v>
      </c>
      <c r="N184" s="185">
        <v>949560</v>
      </c>
      <c r="O184" s="710"/>
      <c r="P184" s="311"/>
      <c r="Q184" s="311"/>
      <c r="R184" s="311"/>
      <c r="S184" s="311"/>
      <c r="T184" s="315"/>
      <c r="U184" s="315"/>
      <c r="V184" s="315"/>
      <c r="W184" s="315"/>
      <c r="X184" s="315"/>
      <c r="Y184" s="199"/>
      <c r="Z184" s="311"/>
      <c r="AA184" s="311"/>
      <c r="AB184" s="311"/>
      <c r="AC184" s="311"/>
      <c r="AD184" s="311"/>
      <c r="AE184" s="311"/>
      <c r="AF184" s="315"/>
      <c r="AG184" s="315"/>
      <c r="AH184" s="315"/>
      <c r="AI184" s="199"/>
      <c r="AJ184" s="199">
        <f t="shared" si="310"/>
        <v>1</v>
      </c>
      <c r="AK184" s="831">
        <v>949560</v>
      </c>
      <c r="AL184" s="1053">
        <f>AK184+AK185</f>
        <v>1899120</v>
      </c>
      <c r="AM184" s="1052">
        <f>AL184/12*11</f>
        <v>1740860</v>
      </c>
      <c r="AN184" s="1052">
        <f>AL184/12</f>
        <v>158260</v>
      </c>
      <c r="AP184" s="318">
        <f t="shared" si="311"/>
        <v>8016</v>
      </c>
      <c r="AQ184" s="318">
        <f t="shared" si="312"/>
        <v>744</v>
      </c>
      <c r="AR184" s="318">
        <f t="shared" si="313"/>
        <v>8760</v>
      </c>
      <c r="AS184" s="1112">
        <f>AR184+AR185</f>
        <v>17520</v>
      </c>
      <c r="AT184" s="836">
        <v>108</v>
      </c>
      <c r="AU184" s="1102">
        <v>108</v>
      </c>
      <c r="AV184" s="836">
        <f t="shared" si="315"/>
        <v>946080</v>
      </c>
      <c r="AW184" s="1096">
        <f>AU184*AS184</f>
        <v>1892160</v>
      </c>
      <c r="AX184" s="1096">
        <f>AU184*(AP184+AP185)</f>
        <v>1731456</v>
      </c>
      <c r="AY184" s="1096">
        <f>AW184-AX184</f>
        <v>160704</v>
      </c>
      <c r="AZ184" s="1097">
        <f>AW184-AX184-AY184</f>
        <v>0</v>
      </c>
      <c r="BA184" s="1103">
        <f>AW184-AL184</f>
        <v>-6960</v>
      </c>
      <c r="BB184" s="959">
        <v>2</v>
      </c>
      <c r="BC184" s="617">
        <f>AS184*AU184</f>
        <v>1892160</v>
      </c>
      <c r="BD184" s="617">
        <f>(AP184+AP185)*AU184</f>
        <v>1731456</v>
      </c>
      <c r="BE184" s="617">
        <f>BC184-BD184</f>
        <v>160704</v>
      </c>
      <c r="BF184" s="839"/>
      <c r="BG184" s="838">
        <f t="shared" si="326"/>
        <v>0</v>
      </c>
      <c r="BH184" s="838">
        <f t="shared" si="327"/>
        <v>0</v>
      </c>
      <c r="BI184" s="838">
        <f t="shared" si="328"/>
        <v>0</v>
      </c>
    </row>
    <row r="185" spans="1:61" s="184" customFormat="1" ht="18.75" customHeight="1" x14ac:dyDescent="0.2">
      <c r="A185" s="1066"/>
      <c r="B185" s="1066"/>
      <c r="C185" s="1074"/>
      <c r="D185" s="737" t="s">
        <v>379</v>
      </c>
      <c r="E185" s="658" t="s">
        <v>185</v>
      </c>
      <c r="F185" s="311">
        <v>1</v>
      </c>
      <c r="G185" s="198"/>
      <c r="H185" s="709"/>
      <c r="I185" s="453"/>
      <c r="J185" s="671"/>
      <c r="K185" s="200">
        <v>77580</v>
      </c>
      <c r="L185" s="673">
        <v>1.02</v>
      </c>
      <c r="M185" s="200">
        <v>79130</v>
      </c>
      <c r="N185" s="185">
        <v>949560</v>
      </c>
      <c r="O185" s="315"/>
      <c r="P185" s="311"/>
      <c r="Q185" s="311"/>
      <c r="R185" s="311"/>
      <c r="S185" s="311"/>
      <c r="T185" s="315"/>
      <c r="U185" s="315"/>
      <c r="V185" s="315"/>
      <c r="W185" s="315"/>
      <c r="X185" s="315"/>
      <c r="Y185" s="199"/>
      <c r="Z185" s="311"/>
      <c r="AA185" s="311"/>
      <c r="AB185" s="311"/>
      <c r="AC185" s="311"/>
      <c r="AD185" s="311"/>
      <c r="AE185" s="311"/>
      <c r="AF185" s="315"/>
      <c r="AG185" s="315"/>
      <c r="AH185" s="315"/>
      <c r="AI185" s="199"/>
      <c r="AJ185" s="199">
        <f t="shared" si="310"/>
        <v>1</v>
      </c>
      <c r="AK185" s="831">
        <v>949560</v>
      </c>
      <c r="AL185" s="1053"/>
      <c r="AM185" s="1052"/>
      <c r="AN185" s="1052"/>
      <c r="AP185" s="318">
        <f t="shared" si="311"/>
        <v>8016</v>
      </c>
      <c r="AQ185" s="318">
        <f t="shared" si="312"/>
        <v>744</v>
      </c>
      <c r="AR185" s="318">
        <f t="shared" si="313"/>
        <v>8760</v>
      </c>
      <c r="AS185" s="1112"/>
      <c r="AT185" s="836">
        <v>108</v>
      </c>
      <c r="AU185" s="1102"/>
      <c r="AV185" s="836">
        <f t="shared" si="315"/>
        <v>946080</v>
      </c>
      <c r="AW185" s="1096"/>
      <c r="AX185" s="1096"/>
      <c r="AY185" s="1096"/>
      <c r="AZ185" s="1097"/>
      <c r="BA185" s="1103"/>
      <c r="BB185" s="959"/>
      <c r="BC185" s="838"/>
      <c r="BD185" s="838"/>
      <c r="BE185" s="838"/>
      <c r="BF185" s="838"/>
      <c r="BG185" s="838"/>
      <c r="BH185" s="838"/>
    </row>
    <row r="186" spans="1:61" s="184" customFormat="1" ht="18.75" customHeight="1" x14ac:dyDescent="0.2">
      <c r="A186" s="1045">
        <v>49</v>
      </c>
      <c r="B186" s="1045">
        <v>5</v>
      </c>
      <c r="C186" s="1046" t="s">
        <v>131</v>
      </c>
      <c r="D186" s="737" t="s">
        <v>130</v>
      </c>
      <c r="E186" s="658" t="s">
        <v>185</v>
      </c>
      <c r="F186" s="311">
        <v>1</v>
      </c>
      <c r="G186" s="198">
        <v>71700</v>
      </c>
      <c r="H186" s="709">
        <v>1.04</v>
      </c>
      <c r="I186" s="453">
        <v>74570</v>
      </c>
      <c r="J186" s="671">
        <v>1.0403</v>
      </c>
      <c r="K186" s="200">
        <v>77580</v>
      </c>
      <c r="L186" s="673">
        <v>1.02</v>
      </c>
      <c r="M186" s="200">
        <v>79130</v>
      </c>
      <c r="N186" s="185">
        <v>949560</v>
      </c>
      <c r="O186" s="710"/>
      <c r="P186" s="311"/>
      <c r="Q186" s="311"/>
      <c r="R186" s="311"/>
      <c r="S186" s="311"/>
      <c r="T186" s="315"/>
      <c r="U186" s="315"/>
      <c r="V186" s="315"/>
      <c r="W186" s="315"/>
      <c r="X186" s="315"/>
      <c r="Y186" s="199"/>
      <c r="Z186" s="311"/>
      <c r="AA186" s="311"/>
      <c r="AB186" s="311"/>
      <c r="AC186" s="311"/>
      <c r="AD186" s="311"/>
      <c r="AE186" s="311"/>
      <c r="AF186" s="315"/>
      <c r="AG186" s="315"/>
      <c r="AH186" s="315"/>
      <c r="AI186" s="199"/>
      <c r="AJ186" s="199">
        <f t="shared" si="310"/>
        <v>1</v>
      </c>
      <c r="AK186" s="831">
        <v>949560</v>
      </c>
      <c r="AL186" s="1053">
        <f>AK186+AK187+AK188</f>
        <v>2775720</v>
      </c>
      <c r="AM186" s="1052">
        <f>AL186/12*11</f>
        <v>2544410</v>
      </c>
      <c r="AN186" s="1052">
        <f>AL186/12</f>
        <v>231310</v>
      </c>
      <c r="AP186" s="318">
        <f t="shared" si="311"/>
        <v>8016</v>
      </c>
      <c r="AQ186" s="318">
        <f t="shared" si="312"/>
        <v>744</v>
      </c>
      <c r="AR186" s="318">
        <f t="shared" si="313"/>
        <v>8760</v>
      </c>
      <c r="AS186" s="1112">
        <f>AR186+AR187+AR188</f>
        <v>26280</v>
      </c>
      <c r="AT186" s="836">
        <v>108</v>
      </c>
      <c r="AU186" s="1102">
        <v>106</v>
      </c>
      <c r="AV186" s="836">
        <f t="shared" si="315"/>
        <v>946080</v>
      </c>
      <c r="AW186" s="1096">
        <f>AU186*AS186</f>
        <v>2785680</v>
      </c>
      <c r="AX186" s="1096">
        <f>AU186*(AP186+AP187+AP188)</f>
        <v>2549088</v>
      </c>
      <c r="AY186" s="1096">
        <f>AW186-AX186</f>
        <v>236592</v>
      </c>
      <c r="AZ186" s="1097">
        <f>AW186-AX186-AY186</f>
        <v>0</v>
      </c>
      <c r="BA186" s="1103">
        <f>AW186-AL186</f>
        <v>9960</v>
      </c>
      <c r="BB186" s="959">
        <v>3</v>
      </c>
      <c r="BC186" s="617">
        <f>AS186*AU186</f>
        <v>2785680</v>
      </c>
      <c r="BD186" s="617">
        <f>(AP186+AP187+AP188)*AU186</f>
        <v>2549088</v>
      </c>
      <c r="BE186" s="617">
        <f t="shared" ref="BE186" si="329">BC186-BD186</f>
        <v>236592</v>
      </c>
      <c r="BF186" s="838"/>
      <c r="BG186" s="838">
        <f t="shared" ref="BG186" si="330">BC186-AW186</f>
        <v>0</v>
      </c>
      <c r="BH186" s="838">
        <f t="shared" ref="BH186" si="331">BD186-AX186</f>
        <v>0</v>
      </c>
      <c r="BI186" s="838">
        <f t="shared" ref="BI186" si="332">BE186-AY186</f>
        <v>0</v>
      </c>
    </row>
    <row r="187" spans="1:61" s="184" customFormat="1" ht="18.75" customHeight="1" x14ac:dyDescent="0.2">
      <c r="A187" s="1045"/>
      <c r="B187" s="1045"/>
      <c r="C187" s="1046"/>
      <c r="D187" s="737" t="s">
        <v>129</v>
      </c>
      <c r="E187" s="658" t="s">
        <v>185</v>
      </c>
      <c r="F187" s="311">
        <v>1</v>
      </c>
      <c r="G187" s="198">
        <v>71700</v>
      </c>
      <c r="H187" s="709">
        <v>1.04</v>
      </c>
      <c r="I187" s="453">
        <v>74570</v>
      </c>
      <c r="J187" s="671">
        <v>1.0403</v>
      </c>
      <c r="K187" s="200">
        <v>77580</v>
      </c>
      <c r="L187" s="673">
        <v>1.02</v>
      </c>
      <c r="M187" s="200">
        <v>79130</v>
      </c>
      <c r="N187" s="185">
        <v>949560</v>
      </c>
      <c r="O187" s="710"/>
      <c r="P187" s="311"/>
      <c r="Q187" s="311"/>
      <c r="R187" s="311"/>
      <c r="S187" s="311"/>
      <c r="T187" s="315"/>
      <c r="U187" s="315"/>
      <c r="V187" s="315"/>
      <c r="W187" s="315"/>
      <c r="X187" s="315"/>
      <c r="Y187" s="199"/>
      <c r="Z187" s="311"/>
      <c r="AA187" s="311"/>
      <c r="AB187" s="311"/>
      <c r="AC187" s="311"/>
      <c r="AD187" s="311"/>
      <c r="AE187" s="311"/>
      <c r="AF187" s="315"/>
      <c r="AG187" s="315"/>
      <c r="AH187" s="315"/>
      <c r="AI187" s="199"/>
      <c r="AJ187" s="199">
        <f t="shared" si="310"/>
        <v>1</v>
      </c>
      <c r="AK187" s="831">
        <v>949560</v>
      </c>
      <c r="AL187" s="1053"/>
      <c r="AM187" s="1052"/>
      <c r="AN187" s="1052"/>
      <c r="AP187" s="318">
        <f t="shared" si="311"/>
        <v>8016</v>
      </c>
      <c r="AQ187" s="318">
        <f t="shared" si="312"/>
        <v>744</v>
      </c>
      <c r="AR187" s="318">
        <f t="shared" si="313"/>
        <v>8760</v>
      </c>
      <c r="AS187" s="1112"/>
      <c r="AT187" s="836">
        <v>108</v>
      </c>
      <c r="AU187" s="1102"/>
      <c r="AV187" s="836">
        <f t="shared" si="315"/>
        <v>946080</v>
      </c>
      <c r="AW187" s="1096"/>
      <c r="AX187" s="1096"/>
      <c r="AY187" s="1096"/>
      <c r="AZ187" s="1097"/>
      <c r="BA187" s="1103"/>
      <c r="BB187" s="959"/>
      <c r="BC187" s="838"/>
      <c r="BD187" s="838"/>
      <c r="BE187" s="838"/>
      <c r="BF187" s="838"/>
      <c r="BG187" s="838"/>
      <c r="BH187" s="838"/>
    </row>
    <row r="188" spans="1:61" s="184" customFormat="1" ht="18.75" customHeight="1" x14ac:dyDescent="0.2">
      <c r="A188" s="1045"/>
      <c r="B188" s="1045"/>
      <c r="C188" s="1046"/>
      <c r="D188" s="737" t="s">
        <v>128</v>
      </c>
      <c r="E188" s="658" t="s">
        <v>186</v>
      </c>
      <c r="F188" s="311">
        <v>1</v>
      </c>
      <c r="G188" s="198">
        <v>66200</v>
      </c>
      <c r="H188" s="709">
        <v>1.04</v>
      </c>
      <c r="I188" s="453">
        <v>68850</v>
      </c>
      <c r="J188" s="671">
        <v>1.0403</v>
      </c>
      <c r="K188" s="200">
        <v>71620</v>
      </c>
      <c r="L188" s="673">
        <v>1.02</v>
      </c>
      <c r="M188" s="200">
        <v>73050</v>
      </c>
      <c r="N188" s="185">
        <v>876600</v>
      </c>
      <c r="O188" s="710"/>
      <c r="P188" s="311"/>
      <c r="Q188" s="311"/>
      <c r="R188" s="311"/>
      <c r="S188" s="311"/>
      <c r="T188" s="315"/>
      <c r="U188" s="315"/>
      <c r="V188" s="315"/>
      <c r="W188" s="315"/>
      <c r="X188" s="315"/>
      <c r="Y188" s="199"/>
      <c r="Z188" s="311"/>
      <c r="AA188" s="311"/>
      <c r="AB188" s="311"/>
      <c r="AC188" s="311"/>
      <c r="AD188" s="311"/>
      <c r="AE188" s="311"/>
      <c r="AF188" s="315"/>
      <c r="AG188" s="315"/>
      <c r="AH188" s="315"/>
      <c r="AI188" s="199"/>
      <c r="AJ188" s="199">
        <f t="shared" si="310"/>
        <v>1</v>
      </c>
      <c r="AK188" s="831">
        <v>876600</v>
      </c>
      <c r="AL188" s="1053"/>
      <c r="AM188" s="1052"/>
      <c r="AN188" s="1052"/>
      <c r="AP188" s="318">
        <f t="shared" si="311"/>
        <v>8016</v>
      </c>
      <c r="AQ188" s="318">
        <f t="shared" si="312"/>
        <v>744</v>
      </c>
      <c r="AR188" s="318">
        <f t="shared" si="313"/>
        <v>8760</v>
      </c>
      <c r="AS188" s="1112"/>
      <c r="AT188" s="846">
        <v>100</v>
      </c>
      <c r="AU188" s="1102"/>
      <c r="AV188" s="836">
        <f t="shared" si="315"/>
        <v>876000</v>
      </c>
      <c r="AW188" s="1096"/>
      <c r="AX188" s="1096"/>
      <c r="AY188" s="1096"/>
      <c r="AZ188" s="1097"/>
      <c r="BA188" s="1103"/>
      <c r="BB188" s="959"/>
      <c r="BC188" s="838"/>
      <c r="BD188" s="838"/>
      <c r="BE188" s="838"/>
      <c r="BF188" s="838"/>
      <c r="BG188" s="838"/>
      <c r="BH188" s="838"/>
    </row>
    <row r="189" spans="1:61" s="184" customFormat="1" ht="18.75" customHeight="1" x14ac:dyDescent="0.2">
      <c r="A189" s="1045">
        <v>50</v>
      </c>
      <c r="B189" s="1045">
        <v>6</v>
      </c>
      <c r="C189" s="1046" t="s">
        <v>401</v>
      </c>
      <c r="D189" s="737" t="s">
        <v>108</v>
      </c>
      <c r="E189" s="658" t="s">
        <v>185</v>
      </c>
      <c r="F189" s="311">
        <v>1</v>
      </c>
      <c r="G189" s="198">
        <v>71700</v>
      </c>
      <c r="H189" s="709">
        <v>1.04</v>
      </c>
      <c r="I189" s="453">
        <v>74570</v>
      </c>
      <c r="J189" s="671">
        <v>1.0403</v>
      </c>
      <c r="K189" s="200">
        <v>77580</v>
      </c>
      <c r="L189" s="673">
        <v>1.02</v>
      </c>
      <c r="M189" s="200">
        <v>79130</v>
      </c>
      <c r="N189" s="185">
        <v>949560</v>
      </c>
      <c r="O189" s="710"/>
      <c r="P189" s="311"/>
      <c r="Q189" s="311"/>
      <c r="R189" s="311"/>
      <c r="S189" s="311"/>
      <c r="T189" s="315"/>
      <c r="U189" s="315"/>
      <c r="V189" s="315"/>
      <c r="W189" s="315"/>
      <c r="X189" s="315"/>
      <c r="Y189" s="199"/>
      <c r="Z189" s="311"/>
      <c r="AA189" s="311"/>
      <c r="AB189" s="311"/>
      <c r="AC189" s="311"/>
      <c r="AD189" s="311"/>
      <c r="AE189" s="311"/>
      <c r="AF189" s="315"/>
      <c r="AG189" s="315"/>
      <c r="AH189" s="315"/>
      <c r="AI189" s="199"/>
      <c r="AJ189" s="199">
        <f t="shared" si="310"/>
        <v>1</v>
      </c>
      <c r="AK189" s="831">
        <v>949560</v>
      </c>
      <c r="AL189" s="1053">
        <f>AK189+AK190</f>
        <v>1899120</v>
      </c>
      <c r="AM189" s="1052">
        <f>AL189/12*11</f>
        <v>1740860</v>
      </c>
      <c r="AN189" s="1052">
        <f>AL189/12</f>
        <v>158260</v>
      </c>
      <c r="AP189" s="318">
        <f t="shared" si="311"/>
        <v>8016</v>
      </c>
      <c r="AQ189" s="318">
        <f t="shared" si="312"/>
        <v>744</v>
      </c>
      <c r="AR189" s="318">
        <f t="shared" si="313"/>
        <v>8760</v>
      </c>
      <c r="AS189" s="1112">
        <f>AR189+AR190</f>
        <v>17520</v>
      </c>
      <c r="AT189" s="836">
        <v>108</v>
      </c>
      <c r="AU189" s="1102">
        <v>108</v>
      </c>
      <c r="AV189" s="836">
        <f t="shared" si="315"/>
        <v>946080</v>
      </c>
      <c r="AW189" s="1096">
        <f>AU189*AS189</f>
        <v>1892160</v>
      </c>
      <c r="AX189" s="1096">
        <f>AU189*(AP189+AP190)</f>
        <v>1731456</v>
      </c>
      <c r="AY189" s="1096">
        <f>AW189-AX189</f>
        <v>160704</v>
      </c>
      <c r="AZ189" s="1097">
        <f>AW189-AX189-AY189</f>
        <v>0</v>
      </c>
      <c r="BA189" s="1103">
        <f>AW189-AL189</f>
        <v>-6960</v>
      </c>
      <c r="BB189" s="959">
        <v>2</v>
      </c>
      <c r="BC189" s="617">
        <f>AS189*AU189</f>
        <v>1892160</v>
      </c>
      <c r="BD189" s="617">
        <f>(AP189+AP190)*AU189</f>
        <v>1731456</v>
      </c>
      <c r="BE189" s="617">
        <f>BC189-BD189</f>
        <v>160704</v>
      </c>
      <c r="BF189" s="839"/>
      <c r="BG189" s="838">
        <f t="shared" ref="BG189" si="333">BC189-AW189</f>
        <v>0</v>
      </c>
      <c r="BH189" s="838">
        <f t="shared" ref="BH189" si="334">BD189-AX189</f>
        <v>0</v>
      </c>
      <c r="BI189" s="838">
        <f t="shared" ref="BI189" si="335">BE189-AY189</f>
        <v>0</v>
      </c>
    </row>
    <row r="190" spans="1:61" s="184" customFormat="1" ht="18.75" customHeight="1" x14ac:dyDescent="0.2">
      <c r="A190" s="1045"/>
      <c r="B190" s="1045"/>
      <c r="C190" s="1046"/>
      <c r="D190" s="737" t="s">
        <v>107</v>
      </c>
      <c r="E190" s="658" t="s">
        <v>185</v>
      </c>
      <c r="F190" s="311">
        <v>1</v>
      </c>
      <c r="G190" s="198">
        <v>71700</v>
      </c>
      <c r="H190" s="709">
        <v>1.04</v>
      </c>
      <c r="I190" s="453">
        <v>74570</v>
      </c>
      <c r="J190" s="671">
        <v>1.0403</v>
      </c>
      <c r="K190" s="200">
        <v>77580</v>
      </c>
      <c r="L190" s="673">
        <v>1.02</v>
      </c>
      <c r="M190" s="200">
        <v>79130</v>
      </c>
      <c r="N190" s="185">
        <v>949560</v>
      </c>
      <c r="O190" s="710"/>
      <c r="P190" s="311"/>
      <c r="Q190" s="311"/>
      <c r="R190" s="311"/>
      <c r="S190" s="311"/>
      <c r="T190" s="315"/>
      <c r="U190" s="315"/>
      <c r="V190" s="315"/>
      <c r="W190" s="315"/>
      <c r="X190" s="315"/>
      <c r="Y190" s="199"/>
      <c r="Z190" s="311"/>
      <c r="AA190" s="311"/>
      <c r="AB190" s="311"/>
      <c r="AC190" s="311"/>
      <c r="AD190" s="311"/>
      <c r="AE190" s="311"/>
      <c r="AF190" s="315"/>
      <c r="AG190" s="315"/>
      <c r="AH190" s="315"/>
      <c r="AI190" s="199"/>
      <c r="AJ190" s="199">
        <f t="shared" si="310"/>
        <v>1</v>
      </c>
      <c r="AK190" s="831">
        <v>949560</v>
      </c>
      <c r="AL190" s="1053"/>
      <c r="AM190" s="1052"/>
      <c r="AN190" s="1052"/>
      <c r="AP190" s="318">
        <f t="shared" si="311"/>
        <v>8016</v>
      </c>
      <c r="AQ190" s="318">
        <f t="shared" si="312"/>
        <v>744</v>
      </c>
      <c r="AR190" s="318">
        <f t="shared" si="313"/>
        <v>8760</v>
      </c>
      <c r="AS190" s="1112"/>
      <c r="AT190" s="836">
        <v>108</v>
      </c>
      <c r="AU190" s="1102"/>
      <c r="AV190" s="836">
        <f t="shared" si="315"/>
        <v>946080</v>
      </c>
      <c r="AW190" s="1096"/>
      <c r="AX190" s="1096"/>
      <c r="AY190" s="1096"/>
      <c r="AZ190" s="1097"/>
      <c r="BA190" s="1103"/>
      <c r="BB190" s="959"/>
      <c r="BC190" s="617"/>
      <c r="BD190" s="617"/>
      <c r="BE190" s="617"/>
      <c r="BF190" s="839"/>
      <c r="BG190" s="838"/>
      <c r="BH190" s="838"/>
      <c r="BI190" s="838"/>
    </row>
    <row r="191" spans="1:61" s="184" customFormat="1" ht="18.75" customHeight="1" x14ac:dyDescent="0.2">
      <c r="A191" s="726">
        <v>51</v>
      </c>
      <c r="B191" s="726">
        <v>7</v>
      </c>
      <c r="C191" s="459" t="s">
        <v>111</v>
      </c>
      <c r="D191" s="737" t="s">
        <v>110</v>
      </c>
      <c r="E191" s="658" t="s">
        <v>185</v>
      </c>
      <c r="F191" s="311">
        <v>1</v>
      </c>
      <c r="G191" s="198">
        <v>71700</v>
      </c>
      <c r="H191" s="709">
        <v>1.04</v>
      </c>
      <c r="I191" s="453">
        <v>74570</v>
      </c>
      <c r="J191" s="671">
        <v>1.0403</v>
      </c>
      <c r="K191" s="200">
        <v>77580</v>
      </c>
      <c r="L191" s="673">
        <v>1.02</v>
      </c>
      <c r="M191" s="200">
        <v>79130</v>
      </c>
      <c r="N191" s="185">
        <v>949560</v>
      </c>
      <c r="O191" s="710"/>
      <c r="P191" s="311"/>
      <c r="Q191" s="311"/>
      <c r="R191" s="311"/>
      <c r="S191" s="311"/>
      <c r="T191" s="315"/>
      <c r="U191" s="315"/>
      <c r="V191" s="315"/>
      <c r="W191" s="315"/>
      <c r="X191" s="315"/>
      <c r="Y191" s="199"/>
      <c r="Z191" s="311"/>
      <c r="AA191" s="311"/>
      <c r="AB191" s="311"/>
      <c r="AC191" s="311"/>
      <c r="AD191" s="311"/>
      <c r="AE191" s="311"/>
      <c r="AF191" s="315"/>
      <c r="AG191" s="315"/>
      <c r="AH191" s="315"/>
      <c r="AI191" s="199"/>
      <c r="AJ191" s="199">
        <f t="shared" si="310"/>
        <v>1</v>
      </c>
      <c r="AK191" s="831">
        <v>949560</v>
      </c>
      <c r="AL191" s="200">
        <f>AK191</f>
        <v>949560</v>
      </c>
      <c r="AM191" s="199">
        <f>AL191/12*11</f>
        <v>870430</v>
      </c>
      <c r="AN191" s="199">
        <f>AL191/12</f>
        <v>79130</v>
      </c>
      <c r="AP191" s="318">
        <f t="shared" si="311"/>
        <v>8016</v>
      </c>
      <c r="AQ191" s="318">
        <f t="shared" si="312"/>
        <v>744</v>
      </c>
      <c r="AR191" s="318">
        <f t="shared" si="313"/>
        <v>8760</v>
      </c>
      <c r="AS191" s="925">
        <f t="shared" ref="AS191" si="336">AR191</f>
        <v>8760</v>
      </c>
      <c r="AT191" s="836">
        <v>108</v>
      </c>
      <c r="AU191" s="941">
        <v>108</v>
      </c>
      <c r="AV191" s="836">
        <f t="shared" si="315"/>
        <v>946080</v>
      </c>
      <c r="AW191" s="885">
        <f>AV191</f>
        <v>946080</v>
      </c>
      <c r="AX191" s="885">
        <f>AW191/12*11</f>
        <v>867240</v>
      </c>
      <c r="AY191" s="885">
        <f>AW191/12</f>
        <v>78840</v>
      </c>
      <c r="AZ191" s="850"/>
      <c r="BA191" s="183"/>
      <c r="BB191" s="959">
        <v>1</v>
      </c>
      <c r="BC191" s="617">
        <f t="shared" ref="BC191" si="337">AS191*AU191</f>
        <v>946080</v>
      </c>
      <c r="BD191" s="617">
        <f>(AP191)*AU191</f>
        <v>865728</v>
      </c>
      <c r="BE191" s="617">
        <f t="shared" ref="BE191" si="338">BC191-BD191</f>
        <v>80352</v>
      </c>
      <c r="BF191" s="838"/>
      <c r="BG191" s="838">
        <f t="shared" ref="BG191" si="339">BC191-AW191</f>
        <v>0</v>
      </c>
      <c r="BH191" s="838">
        <f t="shared" ref="BH191" si="340">BD191-AX191</f>
        <v>-1512</v>
      </c>
      <c r="BI191" s="838">
        <f t="shared" ref="BI191" si="341">BE191-AY191</f>
        <v>1512</v>
      </c>
    </row>
    <row r="192" spans="1:61" s="767" customFormat="1" ht="18.75" customHeight="1" x14ac:dyDescent="0.2">
      <c r="A192" s="761"/>
      <c r="B192" s="761"/>
      <c r="C192" s="762" t="s">
        <v>1</v>
      </c>
      <c r="D192" s="763"/>
      <c r="E192" s="764"/>
      <c r="F192" s="765">
        <f>SUM(F180:F191)</f>
        <v>12</v>
      </c>
      <c r="G192" s="765"/>
      <c r="H192" s="765"/>
      <c r="I192" s="765"/>
      <c r="J192" s="765"/>
      <c r="K192" s="765"/>
      <c r="L192" s="765"/>
      <c r="M192" s="765"/>
      <c r="N192" s="765">
        <f>SUM(N180:N191)</f>
        <v>11321760</v>
      </c>
      <c r="O192" s="765"/>
      <c r="P192" s="765"/>
      <c r="Q192" s="765"/>
      <c r="R192" s="765"/>
      <c r="S192" s="765"/>
      <c r="T192" s="765"/>
      <c r="U192" s="765"/>
      <c r="V192" s="765"/>
      <c r="W192" s="765"/>
      <c r="X192" s="765"/>
      <c r="Y192" s="765"/>
      <c r="Z192" s="765"/>
      <c r="AA192" s="765"/>
      <c r="AB192" s="765"/>
      <c r="AC192" s="765"/>
      <c r="AD192" s="765"/>
      <c r="AE192" s="765"/>
      <c r="AF192" s="765"/>
      <c r="AG192" s="765"/>
      <c r="AH192" s="765"/>
      <c r="AI192" s="765"/>
      <c r="AJ192" s="765">
        <f>SUM(AJ180:AJ191)</f>
        <v>12</v>
      </c>
      <c r="AK192" s="878">
        <f>SUM(AK180:AK191)</f>
        <v>11321760</v>
      </c>
      <c r="AL192" s="816">
        <f>SUM(AL180:AL191)</f>
        <v>11321760</v>
      </c>
      <c r="AM192" s="878">
        <f>SUM(AM180:AM191)</f>
        <v>10378280</v>
      </c>
      <c r="AN192" s="878">
        <f>SUM(AN180:AN191)</f>
        <v>943480</v>
      </c>
      <c r="AO192" s="766"/>
      <c r="AP192" s="764">
        <f>SUM(AP180:AP191)</f>
        <v>96192</v>
      </c>
      <c r="AQ192" s="764">
        <f>SUM(AQ180:AQ191)</f>
        <v>8928</v>
      </c>
      <c r="AR192" s="764">
        <f>SUM(AR180:AR191)</f>
        <v>105120</v>
      </c>
      <c r="AS192" s="926">
        <f>SUM(AS180:AS191)</f>
        <v>105120</v>
      </c>
      <c r="AT192" s="826">
        <f>AV192/AR192</f>
        <v>107.33333333333333</v>
      </c>
      <c r="AU192" s="942">
        <f>AW192/AS192</f>
        <v>107.5</v>
      </c>
      <c r="AV192" s="858">
        <f>SUM(AV180:AV191)</f>
        <v>11282880</v>
      </c>
      <c r="AW192" s="890">
        <f>SUM(AW180:AW191)</f>
        <v>11300400</v>
      </c>
      <c r="AX192" s="890">
        <f>SUM(AX180:AX191)</f>
        <v>10342152</v>
      </c>
      <c r="AY192" s="890">
        <f>SUM(AY180:AY191)</f>
        <v>958248</v>
      </c>
      <c r="AZ192" s="847"/>
      <c r="BA192" s="183"/>
      <c r="BB192" s="960"/>
      <c r="BC192" s="969">
        <f>AS192*AU192</f>
        <v>11300400</v>
      </c>
      <c r="BD192" s="979">
        <f>(AP192)*AU192</f>
        <v>10340640</v>
      </c>
      <c r="BE192" s="979">
        <f t="shared" ref="BE192:BE193" si="342">BC192-BD192</f>
        <v>959760</v>
      </c>
      <c r="BF192" s="969"/>
      <c r="BG192" s="969">
        <f t="shared" ref="BG192:BG193" si="343">BC192-AW192</f>
        <v>0</v>
      </c>
      <c r="BH192" s="979">
        <f t="shared" ref="BH192:BH193" si="344">BD192-AX192</f>
        <v>-1512</v>
      </c>
      <c r="BI192" s="979">
        <f t="shared" ref="BI192:BI193" si="345">BE192-AY192</f>
        <v>1512</v>
      </c>
    </row>
    <row r="193" spans="1:61" s="196" customFormat="1" ht="18.75" customHeight="1" x14ac:dyDescent="0.2">
      <c r="A193" s="1041">
        <v>52</v>
      </c>
      <c r="B193" s="1041">
        <v>8</v>
      </c>
      <c r="C193" s="1042" t="s">
        <v>84</v>
      </c>
      <c r="D193" s="738" t="s">
        <v>335</v>
      </c>
      <c r="E193" s="453"/>
      <c r="F193" s="198"/>
      <c r="G193" s="198"/>
      <c r="H193" s="657"/>
      <c r="I193" s="198"/>
      <c r="J193" s="671"/>
      <c r="K193" s="200"/>
      <c r="L193" s="673"/>
      <c r="M193" s="200"/>
      <c r="N193" s="185"/>
      <c r="O193" s="658" t="s">
        <v>327</v>
      </c>
      <c r="P193" s="311">
        <v>1</v>
      </c>
      <c r="Q193" s="199">
        <v>82700</v>
      </c>
      <c r="R193" s="658">
        <v>1.04</v>
      </c>
      <c r="S193" s="199">
        <v>86000</v>
      </c>
      <c r="T193" s="658">
        <v>1.0403</v>
      </c>
      <c r="U193" s="200">
        <v>89470</v>
      </c>
      <c r="V193" s="673">
        <v>1.02</v>
      </c>
      <c r="W193" s="200">
        <v>91260</v>
      </c>
      <c r="X193" s="315">
        <v>1</v>
      </c>
      <c r="Y193" s="185">
        <v>1095120</v>
      </c>
      <c r="Z193" s="315"/>
      <c r="AA193" s="315"/>
      <c r="AB193" s="315"/>
      <c r="AC193" s="315"/>
      <c r="AD193" s="315"/>
      <c r="AE193" s="315"/>
      <c r="AF193" s="315"/>
      <c r="AG193" s="315"/>
      <c r="AH193" s="315"/>
      <c r="AI193" s="318"/>
      <c r="AJ193" s="199">
        <f t="shared" ref="AJ193:AJ217" si="346">F193+P193+AA193</f>
        <v>1</v>
      </c>
      <c r="AK193" s="831">
        <v>1095120</v>
      </c>
      <c r="AL193" s="1053">
        <f>AK193+AK194+AK195</f>
        <v>3264012</v>
      </c>
      <c r="AM193" s="1052">
        <f>AL193/12*11</f>
        <v>2992011</v>
      </c>
      <c r="AN193" s="1052">
        <f>AL193/12</f>
        <v>272001</v>
      </c>
      <c r="AO193" s="184"/>
      <c r="AP193" s="318">
        <f t="shared" ref="AP193:AP216" si="347">24*(365-31)*1</f>
        <v>8016</v>
      </c>
      <c r="AQ193" s="318">
        <f t="shared" ref="AQ193:AQ216" si="348">24*31</f>
        <v>744</v>
      </c>
      <c r="AR193" s="318">
        <f t="shared" ref="AR193:AR217" si="349">SUM(AP193:AQ193)</f>
        <v>8760</v>
      </c>
      <c r="AS193" s="1112">
        <f>AR193+AR194+AR195</f>
        <v>26280</v>
      </c>
      <c r="AT193" s="836">
        <v>125</v>
      </c>
      <c r="AU193" s="1102">
        <v>124</v>
      </c>
      <c r="AV193" s="836">
        <f t="shared" ref="AV193:AV217" si="350">AT193*AR193</f>
        <v>1095000</v>
      </c>
      <c r="AW193" s="1096">
        <f>AU193*AS193</f>
        <v>3258720</v>
      </c>
      <c r="AX193" s="1096">
        <f>AU193*(AP193+AP194+AP195)</f>
        <v>2981952</v>
      </c>
      <c r="AY193" s="1096">
        <f>AW193-AX193</f>
        <v>276768</v>
      </c>
      <c r="AZ193" s="1097">
        <f>AW193-AX193-AY193</f>
        <v>0</v>
      </c>
      <c r="BA193" s="1103">
        <f>AW193-AL193</f>
        <v>-5292</v>
      </c>
      <c r="BB193" s="959">
        <v>3</v>
      </c>
      <c r="BC193" s="617">
        <f>AS193*AU193</f>
        <v>3258720</v>
      </c>
      <c r="BD193" s="617">
        <f>(AP193+AP194+AP195)*AU193</f>
        <v>2981952</v>
      </c>
      <c r="BE193" s="617">
        <f t="shared" si="342"/>
        <v>276768</v>
      </c>
      <c r="BF193" s="838"/>
      <c r="BG193" s="838">
        <f t="shared" si="343"/>
        <v>0</v>
      </c>
      <c r="BH193" s="838">
        <f t="shared" si="344"/>
        <v>0</v>
      </c>
      <c r="BI193" s="838">
        <f t="shared" si="345"/>
        <v>0</v>
      </c>
    </row>
    <row r="194" spans="1:61" s="196" customFormat="1" ht="18.75" customHeight="1" x14ac:dyDescent="0.2">
      <c r="A194" s="1041"/>
      <c r="B194" s="1041"/>
      <c r="C194" s="1042"/>
      <c r="D194" s="738" t="s">
        <v>82</v>
      </c>
      <c r="E194" s="453"/>
      <c r="F194" s="198"/>
      <c r="G194" s="198"/>
      <c r="H194" s="657"/>
      <c r="I194" s="198"/>
      <c r="J194" s="671"/>
      <c r="K194" s="200"/>
      <c r="L194" s="673"/>
      <c r="M194" s="200"/>
      <c r="N194" s="185"/>
      <c r="O194" s="658" t="s">
        <v>327</v>
      </c>
      <c r="P194" s="311">
        <v>1</v>
      </c>
      <c r="Q194" s="199">
        <v>82700</v>
      </c>
      <c r="R194" s="658">
        <v>1.04</v>
      </c>
      <c r="S194" s="199">
        <v>86000</v>
      </c>
      <c r="T194" s="658">
        <v>1.0403</v>
      </c>
      <c r="U194" s="200">
        <v>89470</v>
      </c>
      <c r="V194" s="673">
        <v>1.02</v>
      </c>
      <c r="W194" s="200">
        <v>91260</v>
      </c>
      <c r="X194" s="315">
        <v>1.1000000000000001</v>
      </c>
      <c r="Y194" s="185">
        <v>1204632.0000000002</v>
      </c>
      <c r="Z194" s="315"/>
      <c r="AA194" s="315"/>
      <c r="AB194" s="315"/>
      <c r="AC194" s="315"/>
      <c r="AD194" s="315"/>
      <c r="AE194" s="315"/>
      <c r="AF194" s="315"/>
      <c r="AG194" s="315"/>
      <c r="AH194" s="315"/>
      <c r="AI194" s="318"/>
      <c r="AJ194" s="199">
        <f t="shared" si="346"/>
        <v>1</v>
      </c>
      <c r="AK194" s="831">
        <v>1204632.0000000002</v>
      </c>
      <c r="AL194" s="1053"/>
      <c r="AM194" s="1052"/>
      <c r="AN194" s="1052"/>
      <c r="AO194" s="184"/>
      <c r="AP194" s="318">
        <f t="shared" si="347"/>
        <v>8016</v>
      </c>
      <c r="AQ194" s="318">
        <f t="shared" si="348"/>
        <v>744</v>
      </c>
      <c r="AR194" s="318">
        <f t="shared" si="349"/>
        <v>8760</v>
      </c>
      <c r="AS194" s="1112"/>
      <c r="AT194" s="836">
        <v>137</v>
      </c>
      <c r="AU194" s="1102"/>
      <c r="AV194" s="836">
        <f t="shared" si="350"/>
        <v>1200120</v>
      </c>
      <c r="AW194" s="1096"/>
      <c r="AX194" s="1096"/>
      <c r="AY194" s="1096"/>
      <c r="AZ194" s="1097"/>
      <c r="BA194" s="1103"/>
      <c r="BB194" s="959"/>
      <c r="BC194" s="839"/>
      <c r="BD194" s="839"/>
      <c r="BE194" s="839"/>
      <c r="BF194" s="839"/>
      <c r="BG194" s="839"/>
      <c r="BH194" s="839"/>
    </row>
    <row r="195" spans="1:61" s="196" customFormat="1" ht="18.75" customHeight="1" x14ac:dyDescent="0.2">
      <c r="A195" s="1041"/>
      <c r="B195" s="1041"/>
      <c r="C195" s="1042"/>
      <c r="D195" s="738" t="s">
        <v>81</v>
      </c>
      <c r="E195" s="453"/>
      <c r="F195" s="198"/>
      <c r="G195" s="198"/>
      <c r="H195" s="657"/>
      <c r="I195" s="198"/>
      <c r="J195" s="671"/>
      <c r="K195" s="200"/>
      <c r="L195" s="673"/>
      <c r="M195" s="200"/>
      <c r="N195" s="185"/>
      <c r="O195" s="658" t="s">
        <v>211</v>
      </c>
      <c r="P195" s="311">
        <v>1</v>
      </c>
      <c r="Q195" s="199">
        <v>66200</v>
      </c>
      <c r="R195" s="658">
        <v>1.04</v>
      </c>
      <c r="S195" s="199">
        <v>68850</v>
      </c>
      <c r="T195" s="658">
        <v>1.0403</v>
      </c>
      <c r="U195" s="200">
        <v>71620</v>
      </c>
      <c r="V195" s="673">
        <v>1.02</v>
      </c>
      <c r="W195" s="200">
        <v>73050</v>
      </c>
      <c r="X195" s="315">
        <v>1.1000000000000001</v>
      </c>
      <c r="Y195" s="185">
        <v>964260</v>
      </c>
      <c r="Z195" s="315"/>
      <c r="AA195" s="315"/>
      <c r="AB195" s="315"/>
      <c r="AC195" s="315"/>
      <c r="AD195" s="315"/>
      <c r="AE195" s="315"/>
      <c r="AF195" s="315"/>
      <c r="AG195" s="315"/>
      <c r="AH195" s="315"/>
      <c r="AI195" s="318"/>
      <c r="AJ195" s="199">
        <f t="shared" si="346"/>
        <v>1</v>
      </c>
      <c r="AK195" s="831">
        <v>964260</v>
      </c>
      <c r="AL195" s="1053"/>
      <c r="AM195" s="1052"/>
      <c r="AN195" s="1052"/>
      <c r="AO195" s="184"/>
      <c r="AP195" s="318">
        <f t="shared" si="347"/>
        <v>8016</v>
      </c>
      <c r="AQ195" s="318">
        <f t="shared" si="348"/>
        <v>744</v>
      </c>
      <c r="AR195" s="318">
        <f t="shared" si="349"/>
        <v>8760</v>
      </c>
      <c r="AS195" s="1112"/>
      <c r="AT195" s="836">
        <v>110</v>
      </c>
      <c r="AU195" s="1102"/>
      <c r="AV195" s="836">
        <f t="shared" si="350"/>
        <v>963600</v>
      </c>
      <c r="AW195" s="1096"/>
      <c r="AX195" s="1096"/>
      <c r="AY195" s="1096"/>
      <c r="AZ195" s="1097"/>
      <c r="BA195" s="1103"/>
      <c r="BB195" s="959"/>
      <c r="BC195" s="839"/>
      <c r="BD195" s="839"/>
      <c r="BE195" s="839"/>
      <c r="BF195" s="839"/>
      <c r="BG195" s="839"/>
      <c r="BH195" s="839"/>
    </row>
    <row r="196" spans="1:61" s="196" customFormat="1" ht="18.75" customHeight="1" x14ac:dyDescent="0.2">
      <c r="A196" s="1041">
        <v>53</v>
      </c>
      <c r="B196" s="1041">
        <v>9</v>
      </c>
      <c r="C196" s="1042" t="s">
        <v>334</v>
      </c>
      <c r="D196" s="738" t="s">
        <v>79</v>
      </c>
      <c r="E196" s="453"/>
      <c r="F196" s="198"/>
      <c r="G196" s="198"/>
      <c r="H196" s="657"/>
      <c r="I196" s="198"/>
      <c r="J196" s="671"/>
      <c r="K196" s="200"/>
      <c r="L196" s="673"/>
      <c r="M196" s="200"/>
      <c r="N196" s="185"/>
      <c r="O196" s="658" t="s">
        <v>198</v>
      </c>
      <c r="P196" s="311">
        <v>1</v>
      </c>
      <c r="Q196" s="199">
        <v>93700</v>
      </c>
      <c r="R196" s="658">
        <v>1.04</v>
      </c>
      <c r="S196" s="199">
        <v>97450</v>
      </c>
      <c r="T196" s="658">
        <v>1.0403</v>
      </c>
      <c r="U196" s="200">
        <v>101380</v>
      </c>
      <c r="V196" s="673">
        <v>1.02</v>
      </c>
      <c r="W196" s="200">
        <v>103410</v>
      </c>
      <c r="X196" s="315">
        <v>1.1000000000000001</v>
      </c>
      <c r="Y196" s="185">
        <v>1365012.0000000002</v>
      </c>
      <c r="Z196" s="315"/>
      <c r="AA196" s="315"/>
      <c r="AB196" s="315"/>
      <c r="AC196" s="315"/>
      <c r="AD196" s="315"/>
      <c r="AE196" s="315"/>
      <c r="AF196" s="315"/>
      <c r="AG196" s="315"/>
      <c r="AH196" s="315"/>
      <c r="AI196" s="318"/>
      <c r="AJ196" s="199">
        <f t="shared" si="346"/>
        <v>1</v>
      </c>
      <c r="AK196" s="831">
        <v>1365012.0000000002</v>
      </c>
      <c r="AL196" s="1053">
        <f>AK196+AK197</f>
        <v>2314572</v>
      </c>
      <c r="AM196" s="1052">
        <f>AL196/12*11</f>
        <v>2121691</v>
      </c>
      <c r="AN196" s="1052">
        <f>AL196/12</f>
        <v>192881</v>
      </c>
      <c r="AO196" s="184"/>
      <c r="AP196" s="318">
        <f t="shared" si="347"/>
        <v>8016</v>
      </c>
      <c r="AQ196" s="318">
        <f t="shared" si="348"/>
        <v>744</v>
      </c>
      <c r="AR196" s="318">
        <f t="shared" si="349"/>
        <v>8760</v>
      </c>
      <c r="AS196" s="1112">
        <f>AR196+AR197</f>
        <v>17520</v>
      </c>
      <c r="AT196" s="836">
        <v>155</v>
      </c>
      <c r="AU196" s="1102">
        <v>132</v>
      </c>
      <c r="AV196" s="836">
        <f t="shared" si="350"/>
        <v>1357800</v>
      </c>
      <c r="AW196" s="1096">
        <f>AU196*AS196</f>
        <v>2312640</v>
      </c>
      <c r="AX196" s="1096">
        <f>AU196*(AP196+AP197)</f>
        <v>2116224</v>
      </c>
      <c r="AY196" s="1096">
        <f>AW196-AX196</f>
        <v>196416</v>
      </c>
      <c r="AZ196" s="1097">
        <f>AW196-AX196-AY196</f>
        <v>0</v>
      </c>
      <c r="BA196" s="1103">
        <f>AW196-AL196</f>
        <v>-1932</v>
      </c>
      <c r="BB196" s="959">
        <v>2</v>
      </c>
      <c r="BC196" s="617">
        <f>AS196*AU196</f>
        <v>2312640</v>
      </c>
      <c r="BD196" s="617">
        <f>(AP196+AP197)*AU196</f>
        <v>2116224</v>
      </c>
      <c r="BE196" s="617">
        <f>BC196-BD196</f>
        <v>196416</v>
      </c>
      <c r="BF196" s="839"/>
      <c r="BG196" s="838">
        <f t="shared" ref="BG196" si="351">BC196-AW196</f>
        <v>0</v>
      </c>
      <c r="BH196" s="838">
        <f t="shared" ref="BH196" si="352">BD196-AX196</f>
        <v>0</v>
      </c>
      <c r="BI196" s="838">
        <f t="shared" ref="BI196" si="353">BE196-AY196</f>
        <v>0</v>
      </c>
    </row>
    <row r="197" spans="1:61" s="196" customFormat="1" ht="18.75" customHeight="1" x14ac:dyDescent="0.2">
      <c r="A197" s="1041"/>
      <c r="B197" s="1041"/>
      <c r="C197" s="1042"/>
      <c r="D197" s="738" t="s">
        <v>78</v>
      </c>
      <c r="E197" s="657" t="s">
        <v>185</v>
      </c>
      <c r="F197" s="198">
        <v>1</v>
      </c>
      <c r="G197" s="198">
        <v>71700</v>
      </c>
      <c r="H197" s="658">
        <v>1.04</v>
      </c>
      <c r="I197" s="198">
        <v>74570</v>
      </c>
      <c r="J197" s="671">
        <v>1.0403</v>
      </c>
      <c r="K197" s="200">
        <v>77580</v>
      </c>
      <c r="L197" s="673">
        <v>1.02</v>
      </c>
      <c r="M197" s="200">
        <v>79130</v>
      </c>
      <c r="N197" s="185">
        <v>949560</v>
      </c>
      <c r="O197" s="315"/>
      <c r="P197" s="311"/>
      <c r="Q197" s="199"/>
      <c r="R197" s="658"/>
      <c r="S197" s="199"/>
      <c r="T197" s="658"/>
      <c r="U197" s="200"/>
      <c r="V197" s="200"/>
      <c r="W197" s="200"/>
      <c r="X197" s="315"/>
      <c r="Y197" s="185"/>
      <c r="Z197" s="315"/>
      <c r="AA197" s="315"/>
      <c r="AB197" s="315"/>
      <c r="AC197" s="315"/>
      <c r="AD197" s="315"/>
      <c r="AE197" s="315"/>
      <c r="AF197" s="315"/>
      <c r="AG197" s="315"/>
      <c r="AH197" s="315"/>
      <c r="AI197" s="318"/>
      <c r="AJ197" s="199">
        <f t="shared" si="346"/>
        <v>1</v>
      </c>
      <c r="AK197" s="831">
        <v>949560</v>
      </c>
      <c r="AL197" s="1053"/>
      <c r="AM197" s="1052"/>
      <c r="AN197" s="1052"/>
      <c r="AO197" s="184"/>
      <c r="AP197" s="318">
        <f t="shared" si="347"/>
        <v>8016</v>
      </c>
      <c r="AQ197" s="318">
        <f t="shared" si="348"/>
        <v>744</v>
      </c>
      <c r="AR197" s="318">
        <f t="shared" si="349"/>
        <v>8760</v>
      </c>
      <c r="AS197" s="1112"/>
      <c r="AT197" s="836">
        <v>108</v>
      </c>
      <c r="AU197" s="1102"/>
      <c r="AV197" s="836">
        <f t="shared" si="350"/>
        <v>946080</v>
      </c>
      <c r="AW197" s="1096"/>
      <c r="AX197" s="1096"/>
      <c r="AY197" s="1096"/>
      <c r="AZ197" s="1097"/>
      <c r="BA197" s="1103"/>
      <c r="BB197" s="959"/>
      <c r="BC197" s="839"/>
      <c r="BD197" s="839"/>
      <c r="BE197" s="839"/>
      <c r="BF197" s="839"/>
      <c r="BG197" s="839"/>
      <c r="BH197" s="839"/>
    </row>
    <row r="198" spans="1:61" s="196" customFormat="1" ht="18.75" customHeight="1" x14ac:dyDescent="0.2">
      <c r="A198" s="726">
        <v>54</v>
      </c>
      <c r="B198" s="726">
        <v>10</v>
      </c>
      <c r="C198" s="462" t="s">
        <v>76</v>
      </c>
      <c r="D198" s="738" t="s">
        <v>175</v>
      </c>
      <c r="E198" s="453"/>
      <c r="F198" s="198"/>
      <c r="G198" s="198"/>
      <c r="H198" s="657"/>
      <c r="I198" s="198"/>
      <c r="J198" s="671"/>
      <c r="K198" s="200"/>
      <c r="L198" s="673"/>
      <c r="M198" s="200"/>
      <c r="N198" s="185"/>
      <c r="O198" s="658" t="s">
        <v>319</v>
      </c>
      <c r="P198" s="311">
        <v>1</v>
      </c>
      <c r="Q198" s="199">
        <v>88200</v>
      </c>
      <c r="R198" s="658">
        <v>1.04</v>
      </c>
      <c r="S198" s="199">
        <v>91730</v>
      </c>
      <c r="T198" s="658">
        <v>1.0403</v>
      </c>
      <c r="U198" s="200">
        <v>95430</v>
      </c>
      <c r="V198" s="673">
        <v>1.02</v>
      </c>
      <c r="W198" s="200">
        <v>97340</v>
      </c>
      <c r="X198" s="315">
        <v>1</v>
      </c>
      <c r="Y198" s="185">
        <v>1168080</v>
      </c>
      <c r="Z198" s="315"/>
      <c r="AA198" s="315"/>
      <c r="AB198" s="315"/>
      <c r="AC198" s="315"/>
      <c r="AD198" s="315"/>
      <c r="AE198" s="315"/>
      <c r="AF198" s="315"/>
      <c r="AG198" s="315"/>
      <c r="AH198" s="315"/>
      <c r="AI198" s="318"/>
      <c r="AJ198" s="199">
        <f t="shared" si="346"/>
        <v>1</v>
      </c>
      <c r="AK198" s="831">
        <v>1168080</v>
      </c>
      <c r="AL198" s="200">
        <f>AK198</f>
        <v>1168080</v>
      </c>
      <c r="AM198" s="199">
        <f>AL198/12*11</f>
        <v>1070740</v>
      </c>
      <c r="AN198" s="199">
        <f>AL198/12</f>
        <v>97340</v>
      </c>
      <c r="AO198" s="184"/>
      <c r="AP198" s="318">
        <f t="shared" si="347"/>
        <v>8016</v>
      </c>
      <c r="AQ198" s="318">
        <f t="shared" si="348"/>
        <v>744</v>
      </c>
      <c r="AR198" s="318">
        <f t="shared" si="349"/>
        <v>8760</v>
      </c>
      <c r="AS198" s="925">
        <f t="shared" ref="AS198" si="354">AR198</f>
        <v>8760</v>
      </c>
      <c r="AT198" s="836">
        <v>133</v>
      </c>
      <c r="AU198" s="941">
        <v>133</v>
      </c>
      <c r="AV198" s="836">
        <f t="shared" si="350"/>
        <v>1165080</v>
      </c>
      <c r="AW198" s="885">
        <f>AV198</f>
        <v>1165080</v>
      </c>
      <c r="AX198" s="885">
        <f>AU198*AP198</f>
        <v>1066128</v>
      </c>
      <c r="AY198" s="885">
        <f>AW198-AX198</f>
        <v>98952</v>
      </c>
      <c r="AZ198" s="387">
        <f>AW198-AX198-AY198</f>
        <v>0</v>
      </c>
      <c r="BA198" s="596">
        <f>AW198-AL198</f>
        <v>-3000</v>
      </c>
      <c r="BB198" s="959">
        <v>1</v>
      </c>
      <c r="BC198" s="617">
        <f t="shared" ref="BC198" si="355">AS198*AU198</f>
        <v>1165080</v>
      </c>
      <c r="BD198" s="617">
        <f t="shared" ref="BD198" si="356">(AP198)*AU198</f>
        <v>1066128</v>
      </c>
      <c r="BE198" s="617">
        <f t="shared" ref="BE198" si="357">BC198-BD198</f>
        <v>98952</v>
      </c>
      <c r="BF198" s="838"/>
      <c r="BG198" s="838">
        <f t="shared" ref="BG198:BG199" si="358">BC198-AW198</f>
        <v>0</v>
      </c>
      <c r="BH198" s="838">
        <f t="shared" ref="BH198:BH199" si="359">BD198-AX198</f>
        <v>0</v>
      </c>
      <c r="BI198" s="838">
        <f t="shared" ref="BI198:BI199" si="360">BE198-AY198</f>
        <v>0</v>
      </c>
    </row>
    <row r="199" spans="1:61" s="196" customFormat="1" ht="18.75" customHeight="1" x14ac:dyDescent="0.2">
      <c r="A199" s="1041">
        <v>55</v>
      </c>
      <c r="B199" s="1041">
        <v>11</v>
      </c>
      <c r="C199" s="1042" t="s">
        <v>72</v>
      </c>
      <c r="D199" s="738" t="s">
        <v>71</v>
      </c>
      <c r="E199" s="453"/>
      <c r="F199" s="198"/>
      <c r="G199" s="198"/>
      <c r="H199" s="657"/>
      <c r="I199" s="198"/>
      <c r="J199" s="671"/>
      <c r="K199" s="200"/>
      <c r="L199" s="673"/>
      <c r="M199" s="200"/>
      <c r="N199" s="185"/>
      <c r="O199" s="658" t="s">
        <v>319</v>
      </c>
      <c r="P199" s="311">
        <v>1</v>
      </c>
      <c r="Q199" s="199">
        <v>88200</v>
      </c>
      <c r="R199" s="658">
        <v>1.04</v>
      </c>
      <c r="S199" s="199">
        <v>91730</v>
      </c>
      <c r="T199" s="658">
        <v>1.0403</v>
      </c>
      <c r="U199" s="200">
        <v>95430</v>
      </c>
      <c r="V199" s="673">
        <v>1.02</v>
      </c>
      <c r="W199" s="200">
        <v>97340</v>
      </c>
      <c r="X199" s="315">
        <v>1.1000000000000001</v>
      </c>
      <c r="Y199" s="185">
        <v>1284888.0000000002</v>
      </c>
      <c r="Z199" s="315"/>
      <c r="AA199" s="315"/>
      <c r="AB199" s="315"/>
      <c r="AC199" s="315"/>
      <c r="AD199" s="315"/>
      <c r="AE199" s="315"/>
      <c r="AF199" s="315"/>
      <c r="AG199" s="315"/>
      <c r="AH199" s="315"/>
      <c r="AI199" s="318"/>
      <c r="AJ199" s="199">
        <f t="shared" si="346"/>
        <v>1</v>
      </c>
      <c r="AK199" s="831">
        <v>1284888.0000000002</v>
      </c>
      <c r="AL199" s="1053">
        <f>AK199+AK200</f>
        <v>2452968</v>
      </c>
      <c r="AM199" s="1052">
        <f>AL199/12*11</f>
        <v>2248554</v>
      </c>
      <c r="AN199" s="1052">
        <f>AL199/12</f>
        <v>204414</v>
      </c>
      <c r="AO199" s="184"/>
      <c r="AP199" s="318">
        <f t="shared" si="347"/>
        <v>8016</v>
      </c>
      <c r="AQ199" s="318">
        <f t="shared" si="348"/>
        <v>744</v>
      </c>
      <c r="AR199" s="318">
        <f t="shared" si="349"/>
        <v>8760</v>
      </c>
      <c r="AS199" s="1112">
        <f>AR199+AR200</f>
        <v>17520</v>
      </c>
      <c r="AT199" s="836">
        <v>146</v>
      </c>
      <c r="AU199" s="1102">
        <v>140</v>
      </c>
      <c r="AV199" s="836">
        <f t="shared" si="350"/>
        <v>1278960</v>
      </c>
      <c r="AW199" s="1096">
        <f>AU199*AS199</f>
        <v>2452800</v>
      </c>
      <c r="AX199" s="1096">
        <f>AU199*(AP199+AP200)</f>
        <v>2244480</v>
      </c>
      <c r="AY199" s="1096">
        <f>AW199-AX199</f>
        <v>208320</v>
      </c>
      <c r="AZ199" s="1097">
        <f>AW199-AX199-AY199</f>
        <v>0</v>
      </c>
      <c r="BA199" s="1103">
        <f>AW199-AL199</f>
        <v>-168</v>
      </c>
      <c r="BB199" s="959">
        <v>2</v>
      </c>
      <c r="BC199" s="617">
        <f>AS199*AU199</f>
        <v>2452800</v>
      </c>
      <c r="BD199" s="617">
        <f>(AP199+AP200)*AU199</f>
        <v>2244480</v>
      </c>
      <c r="BE199" s="617">
        <f>BC199-BD199</f>
        <v>208320</v>
      </c>
      <c r="BF199" s="839"/>
      <c r="BG199" s="838">
        <f t="shared" si="358"/>
        <v>0</v>
      </c>
      <c r="BH199" s="838">
        <f t="shared" si="359"/>
        <v>0</v>
      </c>
      <c r="BI199" s="838">
        <f t="shared" si="360"/>
        <v>0</v>
      </c>
    </row>
    <row r="200" spans="1:61" s="196" customFormat="1" ht="18.75" customHeight="1" x14ac:dyDescent="0.2">
      <c r="A200" s="1041"/>
      <c r="B200" s="1041"/>
      <c r="C200" s="1042"/>
      <c r="D200" s="738" t="s">
        <v>182</v>
      </c>
      <c r="E200" s="453"/>
      <c r="F200" s="198"/>
      <c r="G200" s="198"/>
      <c r="H200" s="657"/>
      <c r="I200" s="198"/>
      <c r="J200" s="671"/>
      <c r="K200" s="200"/>
      <c r="L200" s="673"/>
      <c r="M200" s="200"/>
      <c r="N200" s="185"/>
      <c r="O200" s="658" t="s">
        <v>319</v>
      </c>
      <c r="P200" s="311">
        <v>1</v>
      </c>
      <c r="Q200" s="199">
        <v>82700</v>
      </c>
      <c r="R200" s="658">
        <v>1.04</v>
      </c>
      <c r="S200" s="199">
        <v>86000</v>
      </c>
      <c r="T200" s="658">
        <v>1.0403</v>
      </c>
      <c r="U200" s="711">
        <v>95430</v>
      </c>
      <c r="V200" s="673">
        <v>1.02</v>
      </c>
      <c r="W200" s="200">
        <v>97340</v>
      </c>
      <c r="X200" s="315">
        <v>1</v>
      </c>
      <c r="Y200" s="185">
        <v>1168080</v>
      </c>
      <c r="Z200" s="315"/>
      <c r="AA200" s="315"/>
      <c r="AB200" s="315"/>
      <c r="AC200" s="315"/>
      <c r="AD200" s="315"/>
      <c r="AE200" s="315"/>
      <c r="AF200" s="315"/>
      <c r="AG200" s="315"/>
      <c r="AH200" s="315"/>
      <c r="AI200" s="318"/>
      <c r="AJ200" s="199">
        <f t="shared" si="346"/>
        <v>1</v>
      </c>
      <c r="AK200" s="831">
        <v>1168080</v>
      </c>
      <c r="AL200" s="1053"/>
      <c r="AM200" s="1052"/>
      <c r="AN200" s="1052"/>
      <c r="AO200" s="184"/>
      <c r="AP200" s="318">
        <f t="shared" si="347"/>
        <v>8016</v>
      </c>
      <c r="AQ200" s="318">
        <f t="shared" si="348"/>
        <v>744</v>
      </c>
      <c r="AR200" s="318">
        <f t="shared" si="349"/>
        <v>8760</v>
      </c>
      <c r="AS200" s="1112"/>
      <c r="AT200" s="836">
        <v>133</v>
      </c>
      <c r="AU200" s="1102"/>
      <c r="AV200" s="836">
        <f t="shared" si="350"/>
        <v>1165080</v>
      </c>
      <c r="AW200" s="1096"/>
      <c r="AX200" s="1096"/>
      <c r="AY200" s="1096"/>
      <c r="AZ200" s="1097"/>
      <c r="BA200" s="1103"/>
      <c r="BB200" s="959"/>
      <c r="BC200" s="839"/>
      <c r="BD200" s="839"/>
      <c r="BE200" s="839"/>
      <c r="BF200" s="839"/>
      <c r="BG200" s="839"/>
      <c r="BH200" s="839"/>
    </row>
    <row r="201" spans="1:61" s="196" customFormat="1" ht="18.75" customHeight="1" x14ac:dyDescent="0.2">
      <c r="A201" s="1041">
        <v>56</v>
      </c>
      <c r="B201" s="1041">
        <v>12</v>
      </c>
      <c r="C201" s="1042" t="s">
        <v>55</v>
      </c>
      <c r="D201" s="737" t="s">
        <v>54</v>
      </c>
      <c r="E201" s="318"/>
      <c r="F201" s="199"/>
      <c r="G201" s="199"/>
      <c r="H201" s="658"/>
      <c r="I201" s="199"/>
      <c r="J201" s="674"/>
      <c r="K201" s="200"/>
      <c r="L201" s="673"/>
      <c r="M201" s="200"/>
      <c r="N201" s="185"/>
      <c r="O201" s="658" t="s">
        <v>319</v>
      </c>
      <c r="P201" s="311">
        <v>1</v>
      </c>
      <c r="Q201" s="199">
        <v>88200</v>
      </c>
      <c r="R201" s="658">
        <v>1.04</v>
      </c>
      <c r="S201" s="199">
        <v>91730</v>
      </c>
      <c r="T201" s="658">
        <v>1.0403</v>
      </c>
      <c r="U201" s="200">
        <v>95430</v>
      </c>
      <c r="V201" s="673">
        <v>1.02</v>
      </c>
      <c r="W201" s="200">
        <v>97340</v>
      </c>
      <c r="X201" s="315">
        <v>1.1000000000000001</v>
      </c>
      <c r="Y201" s="185">
        <v>1284888.0000000002</v>
      </c>
      <c r="Z201" s="315"/>
      <c r="AA201" s="315"/>
      <c r="AB201" s="315"/>
      <c r="AC201" s="315"/>
      <c r="AD201" s="315"/>
      <c r="AE201" s="315"/>
      <c r="AF201" s="315"/>
      <c r="AG201" s="315"/>
      <c r="AH201" s="315"/>
      <c r="AI201" s="318"/>
      <c r="AJ201" s="199">
        <f t="shared" si="346"/>
        <v>1</v>
      </c>
      <c r="AK201" s="831">
        <v>1284888.0000000002</v>
      </c>
      <c r="AL201" s="1053">
        <f>AK201+AK202+AK203+AK204+AK205</f>
        <v>4937208</v>
      </c>
      <c r="AM201" s="1052">
        <f>AL201/12*11</f>
        <v>4525774</v>
      </c>
      <c r="AN201" s="1052">
        <f>AL201/12</f>
        <v>411434</v>
      </c>
      <c r="AO201" s="184"/>
      <c r="AP201" s="318">
        <f t="shared" si="347"/>
        <v>8016</v>
      </c>
      <c r="AQ201" s="318">
        <f t="shared" si="348"/>
        <v>744</v>
      </c>
      <c r="AR201" s="318">
        <f t="shared" si="349"/>
        <v>8760</v>
      </c>
      <c r="AS201" s="1112">
        <f>AR201+AR202+AR203+AR204+AR205</f>
        <v>43800</v>
      </c>
      <c r="AT201" s="836">
        <v>146</v>
      </c>
      <c r="AU201" s="1102">
        <v>113</v>
      </c>
      <c r="AV201" s="836">
        <f t="shared" si="350"/>
        <v>1278960</v>
      </c>
      <c r="AW201" s="1096">
        <f>AS201*AU201</f>
        <v>4949400</v>
      </c>
      <c r="AX201" s="1096">
        <f>AU201*(AP201+AP202+AP203+AP204+AP205)</f>
        <v>4529040</v>
      </c>
      <c r="AY201" s="1096">
        <f>AW201-AX201</f>
        <v>420360</v>
      </c>
      <c r="AZ201" s="1052">
        <f>AW201-AX201-AY201</f>
        <v>0</v>
      </c>
      <c r="BA201" s="1105">
        <f>AW201-AL201</f>
        <v>12192</v>
      </c>
      <c r="BB201" s="959">
        <v>5</v>
      </c>
      <c r="BC201" s="617">
        <f>AS201*AU201</f>
        <v>4949400</v>
      </c>
      <c r="BD201" s="617">
        <f>(AP201+AP202+AP203+AP204+AP205)*AU201</f>
        <v>4529040</v>
      </c>
      <c r="BE201" s="617">
        <f t="shared" ref="BE201" si="361">BC201-BD201</f>
        <v>420360</v>
      </c>
      <c r="BF201" s="839"/>
      <c r="BG201" s="838">
        <f t="shared" ref="BG201" si="362">BC201-AW201</f>
        <v>0</v>
      </c>
      <c r="BH201" s="838">
        <f t="shared" ref="BH201" si="363">BD201-AX201</f>
        <v>0</v>
      </c>
      <c r="BI201" s="838">
        <f t="shared" ref="BI201" si="364">BE201-AY201</f>
        <v>0</v>
      </c>
    </row>
    <row r="202" spans="1:61" s="196" customFormat="1" ht="18.75" customHeight="1" x14ac:dyDescent="0.2">
      <c r="A202" s="1041"/>
      <c r="B202" s="1041"/>
      <c r="C202" s="1042"/>
      <c r="D202" s="737" t="s">
        <v>53</v>
      </c>
      <c r="E202" s="659" t="s">
        <v>185</v>
      </c>
      <c r="F202" s="199">
        <v>1</v>
      </c>
      <c r="G202" s="199">
        <v>71700</v>
      </c>
      <c r="H202" s="658">
        <v>1.04</v>
      </c>
      <c r="I202" s="198">
        <v>74570</v>
      </c>
      <c r="J202" s="671">
        <v>1.0403</v>
      </c>
      <c r="K202" s="200">
        <v>77580</v>
      </c>
      <c r="L202" s="673">
        <v>1.02</v>
      </c>
      <c r="M202" s="200">
        <v>79130</v>
      </c>
      <c r="N202" s="185">
        <v>949560</v>
      </c>
      <c r="O202" s="315"/>
      <c r="P202" s="311"/>
      <c r="Q202" s="199"/>
      <c r="R202" s="658"/>
      <c r="S202" s="199"/>
      <c r="T202" s="658"/>
      <c r="U202" s="200"/>
      <c r="V202" s="200"/>
      <c r="W202" s="200"/>
      <c r="X202" s="315"/>
      <c r="Y202" s="185"/>
      <c r="Z202" s="315"/>
      <c r="AA202" s="315"/>
      <c r="AB202" s="315"/>
      <c r="AC202" s="315"/>
      <c r="AD202" s="315"/>
      <c r="AE202" s="315"/>
      <c r="AF202" s="315"/>
      <c r="AG202" s="315"/>
      <c r="AH202" s="315"/>
      <c r="AI202" s="318"/>
      <c r="AJ202" s="199">
        <f t="shared" si="346"/>
        <v>1</v>
      </c>
      <c r="AK202" s="831">
        <v>949560</v>
      </c>
      <c r="AL202" s="1053"/>
      <c r="AM202" s="1052"/>
      <c r="AN202" s="1052"/>
      <c r="AO202" s="184"/>
      <c r="AP202" s="318">
        <f t="shared" si="347"/>
        <v>8016</v>
      </c>
      <c r="AQ202" s="318">
        <f t="shared" si="348"/>
        <v>744</v>
      </c>
      <c r="AR202" s="318">
        <f t="shared" si="349"/>
        <v>8760</v>
      </c>
      <c r="AS202" s="1112"/>
      <c r="AT202" s="836">
        <v>108</v>
      </c>
      <c r="AU202" s="1102"/>
      <c r="AV202" s="836">
        <f t="shared" si="350"/>
        <v>946080</v>
      </c>
      <c r="AW202" s="1096"/>
      <c r="AX202" s="1096"/>
      <c r="AY202" s="1096"/>
      <c r="AZ202" s="1052"/>
      <c r="BA202" s="1105"/>
      <c r="BB202" s="959"/>
      <c r="BC202" s="839"/>
      <c r="BD202" s="839"/>
      <c r="BE202" s="839"/>
      <c r="BF202" s="839"/>
      <c r="BG202" s="839"/>
      <c r="BH202" s="839"/>
    </row>
    <row r="203" spans="1:61" s="196" customFormat="1" ht="18.75" customHeight="1" x14ac:dyDescent="0.2">
      <c r="A203" s="1041"/>
      <c r="B203" s="1041"/>
      <c r="C203" s="1042"/>
      <c r="D203" s="737" t="s">
        <v>438</v>
      </c>
      <c r="E203" s="659"/>
      <c r="F203" s="199"/>
      <c r="G203" s="199"/>
      <c r="H203" s="658"/>
      <c r="I203" s="198"/>
      <c r="J203" s="671"/>
      <c r="K203" s="200"/>
      <c r="L203" s="673"/>
      <c r="M203" s="200"/>
      <c r="N203" s="185"/>
      <c r="O203" s="315" t="s">
        <v>211</v>
      </c>
      <c r="P203" s="311">
        <v>1</v>
      </c>
      <c r="Q203" s="199"/>
      <c r="R203" s="659">
        <v>73050</v>
      </c>
      <c r="S203" s="199">
        <v>1</v>
      </c>
      <c r="T203" s="659">
        <v>876600</v>
      </c>
      <c r="U203" s="200"/>
      <c r="V203" s="200"/>
      <c r="W203" s="200">
        <v>70050</v>
      </c>
      <c r="X203" s="315">
        <v>1</v>
      </c>
      <c r="Y203" s="185">
        <v>876600</v>
      </c>
      <c r="Z203" s="315"/>
      <c r="AA203" s="315"/>
      <c r="AB203" s="315"/>
      <c r="AC203" s="315"/>
      <c r="AD203" s="315"/>
      <c r="AE203" s="315"/>
      <c r="AF203" s="315"/>
      <c r="AG203" s="315"/>
      <c r="AH203" s="315"/>
      <c r="AI203" s="318"/>
      <c r="AJ203" s="199">
        <v>1</v>
      </c>
      <c r="AK203" s="831">
        <v>876600</v>
      </c>
      <c r="AL203" s="1053"/>
      <c r="AM203" s="1052"/>
      <c r="AN203" s="1052"/>
      <c r="AO203" s="184"/>
      <c r="AP203" s="318">
        <f t="shared" si="347"/>
        <v>8016</v>
      </c>
      <c r="AQ203" s="318">
        <f t="shared" si="348"/>
        <v>744</v>
      </c>
      <c r="AR203" s="318">
        <f t="shared" si="349"/>
        <v>8760</v>
      </c>
      <c r="AS203" s="1112"/>
      <c r="AT203" s="846">
        <v>100</v>
      </c>
      <c r="AU203" s="1102"/>
      <c r="AV203" s="836">
        <f t="shared" si="350"/>
        <v>876000</v>
      </c>
      <c r="AW203" s="1096"/>
      <c r="AX203" s="1096"/>
      <c r="AY203" s="1096"/>
      <c r="AZ203" s="1052"/>
      <c r="BA203" s="1105"/>
      <c r="BB203" s="959"/>
      <c r="BC203" s="839"/>
      <c r="BD203" s="839"/>
      <c r="BE203" s="839"/>
      <c r="BF203" s="839"/>
      <c r="BG203" s="839"/>
      <c r="BH203" s="839"/>
    </row>
    <row r="204" spans="1:61" s="196" customFormat="1" ht="18.75" customHeight="1" x14ac:dyDescent="0.2">
      <c r="A204" s="1041"/>
      <c r="B204" s="1041"/>
      <c r="C204" s="1042"/>
      <c r="D204" s="737" t="s">
        <v>243</v>
      </c>
      <c r="E204" s="659" t="s">
        <v>186</v>
      </c>
      <c r="F204" s="199">
        <v>1</v>
      </c>
      <c r="G204" s="199">
        <v>66200</v>
      </c>
      <c r="H204" s="658">
        <v>1.04</v>
      </c>
      <c r="I204" s="198">
        <v>68850</v>
      </c>
      <c r="J204" s="671">
        <v>1.0403</v>
      </c>
      <c r="K204" s="200">
        <v>71620</v>
      </c>
      <c r="L204" s="673">
        <v>1.02</v>
      </c>
      <c r="M204" s="200">
        <v>73050</v>
      </c>
      <c r="N204" s="185">
        <v>876600</v>
      </c>
      <c r="O204" s="315"/>
      <c r="P204" s="311"/>
      <c r="Q204" s="199"/>
      <c r="R204" s="658"/>
      <c r="S204" s="199"/>
      <c r="T204" s="658"/>
      <c r="U204" s="200"/>
      <c r="V204" s="200"/>
      <c r="W204" s="200"/>
      <c r="X204" s="315"/>
      <c r="Y204" s="185"/>
      <c r="Z204" s="315"/>
      <c r="AA204" s="315"/>
      <c r="AB204" s="315"/>
      <c r="AC204" s="315"/>
      <c r="AD204" s="315"/>
      <c r="AE204" s="315"/>
      <c r="AF204" s="315"/>
      <c r="AG204" s="315"/>
      <c r="AH204" s="315"/>
      <c r="AI204" s="318"/>
      <c r="AJ204" s="199">
        <f t="shared" si="346"/>
        <v>1</v>
      </c>
      <c r="AK204" s="831">
        <v>876600</v>
      </c>
      <c r="AL204" s="1053"/>
      <c r="AM204" s="1052"/>
      <c r="AN204" s="1052"/>
      <c r="AO204" s="184"/>
      <c r="AP204" s="318">
        <f t="shared" si="347"/>
        <v>8016</v>
      </c>
      <c r="AQ204" s="318">
        <f t="shared" si="348"/>
        <v>744</v>
      </c>
      <c r="AR204" s="318">
        <f t="shared" si="349"/>
        <v>8760</v>
      </c>
      <c r="AS204" s="1112"/>
      <c r="AT204" s="846">
        <v>100</v>
      </c>
      <c r="AU204" s="1102"/>
      <c r="AV204" s="836">
        <f t="shared" si="350"/>
        <v>876000</v>
      </c>
      <c r="AW204" s="1096"/>
      <c r="AX204" s="1096"/>
      <c r="AY204" s="1096"/>
      <c r="AZ204" s="1052"/>
      <c r="BA204" s="1105"/>
      <c r="BB204" s="959"/>
      <c r="BC204" s="839"/>
      <c r="BD204" s="839"/>
      <c r="BE204" s="839"/>
      <c r="BF204" s="839"/>
      <c r="BG204" s="839"/>
      <c r="BH204" s="839"/>
    </row>
    <row r="205" spans="1:61" s="196" customFormat="1" ht="18.75" customHeight="1" x14ac:dyDescent="0.2">
      <c r="A205" s="1041"/>
      <c r="B205" s="1041"/>
      <c r="C205" s="1042"/>
      <c r="D205" s="737" t="s">
        <v>52</v>
      </c>
      <c r="E205" s="659" t="s">
        <v>185</v>
      </c>
      <c r="F205" s="199">
        <v>1</v>
      </c>
      <c r="G205" s="199">
        <v>71700</v>
      </c>
      <c r="H205" s="658">
        <v>1.04</v>
      </c>
      <c r="I205" s="198">
        <v>74570</v>
      </c>
      <c r="J205" s="671">
        <v>1.0403</v>
      </c>
      <c r="K205" s="200">
        <v>77580</v>
      </c>
      <c r="L205" s="673">
        <v>1.02</v>
      </c>
      <c r="M205" s="200">
        <v>79130</v>
      </c>
      <c r="N205" s="185">
        <v>949560</v>
      </c>
      <c r="O205" s="315"/>
      <c r="P205" s="311"/>
      <c r="Q205" s="199"/>
      <c r="R205" s="658"/>
      <c r="S205" s="199"/>
      <c r="T205" s="658"/>
      <c r="U205" s="200"/>
      <c r="V205" s="200"/>
      <c r="W205" s="200"/>
      <c r="X205" s="315"/>
      <c r="Y205" s="185"/>
      <c r="Z205" s="315"/>
      <c r="AA205" s="315"/>
      <c r="AB205" s="315"/>
      <c r="AC205" s="315"/>
      <c r="AD205" s="315"/>
      <c r="AE205" s="315"/>
      <c r="AF205" s="315"/>
      <c r="AG205" s="315"/>
      <c r="AH205" s="315"/>
      <c r="AI205" s="318"/>
      <c r="AJ205" s="199">
        <f t="shared" si="346"/>
        <v>1</v>
      </c>
      <c r="AK205" s="831">
        <v>949560</v>
      </c>
      <c r="AL205" s="1053"/>
      <c r="AM205" s="1052"/>
      <c r="AN205" s="1052"/>
      <c r="AO205" s="184"/>
      <c r="AP205" s="318">
        <f t="shared" si="347"/>
        <v>8016</v>
      </c>
      <c r="AQ205" s="318">
        <f t="shared" si="348"/>
        <v>744</v>
      </c>
      <c r="AR205" s="318">
        <f t="shared" si="349"/>
        <v>8760</v>
      </c>
      <c r="AS205" s="1112"/>
      <c r="AT205" s="836">
        <v>108</v>
      </c>
      <c r="AU205" s="1102"/>
      <c r="AV205" s="836">
        <f t="shared" si="350"/>
        <v>946080</v>
      </c>
      <c r="AW205" s="1096"/>
      <c r="AX205" s="1096"/>
      <c r="AY205" s="1096"/>
      <c r="AZ205" s="1052"/>
      <c r="BA205" s="1105"/>
      <c r="BB205" s="959"/>
      <c r="BC205" s="839"/>
      <c r="BD205" s="839"/>
      <c r="BE205" s="839"/>
      <c r="BF205" s="839"/>
      <c r="BG205" s="839"/>
      <c r="BH205" s="839"/>
    </row>
    <row r="206" spans="1:61" s="196" customFormat="1" ht="18.75" customHeight="1" x14ac:dyDescent="0.2">
      <c r="A206" s="1041">
        <v>57</v>
      </c>
      <c r="B206" s="1041">
        <v>13</v>
      </c>
      <c r="C206" s="1042" t="s">
        <v>254</v>
      </c>
      <c r="D206" s="737" t="s">
        <v>181</v>
      </c>
      <c r="E206" s="318"/>
      <c r="F206" s="199"/>
      <c r="G206" s="199"/>
      <c r="H206" s="659"/>
      <c r="I206" s="199"/>
      <c r="J206" s="674"/>
      <c r="K206" s="200"/>
      <c r="L206" s="673"/>
      <c r="M206" s="200"/>
      <c r="N206" s="185"/>
      <c r="O206" s="658" t="s">
        <v>198</v>
      </c>
      <c r="P206" s="311">
        <v>1</v>
      </c>
      <c r="Q206" s="199">
        <v>93700</v>
      </c>
      <c r="R206" s="658">
        <v>1.04</v>
      </c>
      <c r="S206" s="199">
        <v>97450</v>
      </c>
      <c r="T206" s="658">
        <v>1.0403</v>
      </c>
      <c r="U206" s="200">
        <v>101380</v>
      </c>
      <c r="V206" s="673">
        <v>1.02</v>
      </c>
      <c r="W206" s="200">
        <v>103410</v>
      </c>
      <c r="X206" s="315">
        <v>1.1000000000000001</v>
      </c>
      <c r="Y206" s="185">
        <v>1365012.0000000002</v>
      </c>
      <c r="Z206" s="315"/>
      <c r="AA206" s="315"/>
      <c r="AB206" s="315"/>
      <c r="AC206" s="315"/>
      <c r="AD206" s="315"/>
      <c r="AE206" s="315"/>
      <c r="AF206" s="315"/>
      <c r="AG206" s="315"/>
      <c r="AH206" s="315"/>
      <c r="AI206" s="318"/>
      <c r="AJ206" s="199">
        <f t="shared" si="346"/>
        <v>1</v>
      </c>
      <c r="AK206" s="831">
        <v>1365012.0000000002</v>
      </c>
      <c r="AL206" s="1053">
        <f>AK206+AK207+AK208</f>
        <v>3118212</v>
      </c>
      <c r="AM206" s="1052">
        <f>AL206/12*11</f>
        <v>2858361</v>
      </c>
      <c r="AN206" s="1052">
        <f>AL206/12</f>
        <v>259851</v>
      </c>
      <c r="AO206" s="184"/>
      <c r="AP206" s="318">
        <f t="shared" si="347"/>
        <v>8016</v>
      </c>
      <c r="AQ206" s="318">
        <f t="shared" si="348"/>
        <v>744</v>
      </c>
      <c r="AR206" s="318">
        <f t="shared" si="349"/>
        <v>8760</v>
      </c>
      <c r="AS206" s="1112">
        <f>AR206+AR207+AR208</f>
        <v>26280</v>
      </c>
      <c r="AT206" s="836">
        <v>155</v>
      </c>
      <c r="AU206" s="1102">
        <v>119</v>
      </c>
      <c r="AV206" s="836">
        <f t="shared" si="350"/>
        <v>1357800</v>
      </c>
      <c r="AW206" s="1096">
        <f>AS206*AU206</f>
        <v>3127320</v>
      </c>
      <c r="AX206" s="1096">
        <f>AU206*(AP206+AP207+AP208)</f>
        <v>2861712</v>
      </c>
      <c r="AY206" s="1096">
        <f>AW206-AX206</f>
        <v>265608</v>
      </c>
      <c r="AZ206" s="1097">
        <f>AW206-AX206-AY206</f>
        <v>0</v>
      </c>
      <c r="BA206" s="1103">
        <f>AW206-AL206</f>
        <v>9108</v>
      </c>
      <c r="BB206" s="959">
        <v>3</v>
      </c>
      <c r="BC206" s="617">
        <f>AS206*AU206</f>
        <v>3127320</v>
      </c>
      <c r="BD206" s="617">
        <f>(AP206+AP207+AP208)*AU206</f>
        <v>2861712</v>
      </c>
      <c r="BE206" s="617">
        <f t="shared" ref="BE206" si="365">BC206-BD206</f>
        <v>265608</v>
      </c>
      <c r="BF206" s="838"/>
      <c r="BG206" s="838">
        <f t="shared" ref="BG206" si="366">BC206-AW206</f>
        <v>0</v>
      </c>
      <c r="BH206" s="838">
        <f t="shared" ref="BH206" si="367">BD206-AX206</f>
        <v>0</v>
      </c>
      <c r="BI206" s="838">
        <f t="shared" ref="BI206" si="368">BE206-AY206</f>
        <v>0</v>
      </c>
    </row>
    <row r="207" spans="1:61" s="196" customFormat="1" ht="18.75" customHeight="1" x14ac:dyDescent="0.2">
      <c r="A207" s="1041"/>
      <c r="B207" s="1041"/>
      <c r="C207" s="1042"/>
      <c r="D207" s="737" t="s">
        <v>49</v>
      </c>
      <c r="E207" s="318"/>
      <c r="F207" s="199"/>
      <c r="G207" s="199"/>
      <c r="H207" s="659"/>
      <c r="I207" s="199"/>
      <c r="J207" s="674"/>
      <c r="K207" s="200"/>
      <c r="L207" s="673"/>
      <c r="M207" s="200"/>
      <c r="N207" s="185"/>
      <c r="O207" s="658" t="s">
        <v>211</v>
      </c>
      <c r="P207" s="311">
        <v>1</v>
      </c>
      <c r="Q207" s="199">
        <v>66200</v>
      </c>
      <c r="R207" s="658">
        <v>1.04</v>
      </c>
      <c r="S207" s="199">
        <v>68850</v>
      </c>
      <c r="T207" s="658">
        <v>1.0403</v>
      </c>
      <c r="U207" s="200">
        <v>71620</v>
      </c>
      <c r="V207" s="673">
        <v>1.02</v>
      </c>
      <c r="W207" s="200">
        <v>73050</v>
      </c>
      <c r="X207" s="315">
        <v>1</v>
      </c>
      <c r="Y207" s="185">
        <v>876600</v>
      </c>
      <c r="Z207" s="315"/>
      <c r="AA207" s="315"/>
      <c r="AB207" s="315"/>
      <c r="AC207" s="315"/>
      <c r="AD207" s="315"/>
      <c r="AE207" s="315"/>
      <c r="AF207" s="315"/>
      <c r="AG207" s="315"/>
      <c r="AH207" s="315"/>
      <c r="AI207" s="318"/>
      <c r="AJ207" s="199">
        <f t="shared" si="346"/>
        <v>1</v>
      </c>
      <c r="AK207" s="831">
        <v>876600</v>
      </c>
      <c r="AL207" s="1053"/>
      <c r="AM207" s="1052"/>
      <c r="AN207" s="1052"/>
      <c r="AO207" s="184"/>
      <c r="AP207" s="318">
        <f t="shared" si="347"/>
        <v>8016</v>
      </c>
      <c r="AQ207" s="318">
        <f t="shared" si="348"/>
        <v>744</v>
      </c>
      <c r="AR207" s="318">
        <f t="shared" si="349"/>
        <v>8760</v>
      </c>
      <c r="AS207" s="1112"/>
      <c r="AT207" s="846">
        <v>100</v>
      </c>
      <c r="AU207" s="1102"/>
      <c r="AV207" s="836">
        <f t="shared" si="350"/>
        <v>876000</v>
      </c>
      <c r="AW207" s="1096"/>
      <c r="AX207" s="1096"/>
      <c r="AY207" s="1096"/>
      <c r="AZ207" s="1097"/>
      <c r="BA207" s="1103"/>
      <c r="BB207" s="959"/>
      <c r="BC207" s="839"/>
      <c r="BD207" s="839"/>
      <c r="BE207" s="839"/>
      <c r="BF207" s="839"/>
      <c r="BG207" s="839"/>
      <c r="BH207" s="839"/>
    </row>
    <row r="208" spans="1:61" s="196" customFormat="1" ht="18.75" customHeight="1" x14ac:dyDescent="0.2">
      <c r="A208" s="1041"/>
      <c r="B208" s="1041"/>
      <c r="C208" s="1042"/>
      <c r="D208" s="737" t="s">
        <v>48</v>
      </c>
      <c r="E208" s="659" t="s">
        <v>186</v>
      </c>
      <c r="F208" s="199">
        <v>1</v>
      </c>
      <c r="G208" s="199">
        <v>66200</v>
      </c>
      <c r="H208" s="658">
        <v>1.04</v>
      </c>
      <c r="I208" s="198">
        <v>68850</v>
      </c>
      <c r="J208" s="671">
        <v>1.0403</v>
      </c>
      <c r="K208" s="200">
        <v>71620</v>
      </c>
      <c r="L208" s="673">
        <v>1.02</v>
      </c>
      <c r="M208" s="200">
        <v>73050</v>
      </c>
      <c r="N208" s="185">
        <v>876600</v>
      </c>
      <c r="O208" s="315"/>
      <c r="P208" s="311"/>
      <c r="Q208" s="199"/>
      <c r="R208" s="658"/>
      <c r="S208" s="199"/>
      <c r="T208" s="658"/>
      <c r="U208" s="200"/>
      <c r="V208" s="200"/>
      <c r="W208" s="200"/>
      <c r="X208" s="315"/>
      <c r="Y208" s="185"/>
      <c r="Z208" s="315"/>
      <c r="AA208" s="315"/>
      <c r="AB208" s="315"/>
      <c r="AC208" s="315"/>
      <c r="AD208" s="315"/>
      <c r="AE208" s="315"/>
      <c r="AF208" s="315"/>
      <c r="AG208" s="315"/>
      <c r="AH208" s="315"/>
      <c r="AI208" s="318"/>
      <c r="AJ208" s="199">
        <f t="shared" si="346"/>
        <v>1</v>
      </c>
      <c r="AK208" s="831">
        <v>876600</v>
      </c>
      <c r="AL208" s="1053"/>
      <c r="AM208" s="1052"/>
      <c r="AN208" s="1052"/>
      <c r="AO208" s="184"/>
      <c r="AP208" s="318">
        <f t="shared" si="347"/>
        <v>8016</v>
      </c>
      <c r="AQ208" s="318">
        <f t="shared" si="348"/>
        <v>744</v>
      </c>
      <c r="AR208" s="318">
        <f t="shared" si="349"/>
        <v>8760</v>
      </c>
      <c r="AS208" s="1112"/>
      <c r="AT208" s="846">
        <v>100</v>
      </c>
      <c r="AU208" s="1102"/>
      <c r="AV208" s="836">
        <f t="shared" si="350"/>
        <v>876000</v>
      </c>
      <c r="AW208" s="1096"/>
      <c r="AX208" s="1096"/>
      <c r="AY208" s="1096"/>
      <c r="AZ208" s="1097"/>
      <c r="BA208" s="1103"/>
      <c r="BB208" s="959"/>
      <c r="BC208" s="839"/>
      <c r="BD208" s="839"/>
      <c r="BE208" s="839"/>
      <c r="BF208" s="839"/>
      <c r="BG208" s="839"/>
      <c r="BH208" s="839"/>
    </row>
    <row r="209" spans="1:61" s="196" customFormat="1" ht="18.75" customHeight="1" x14ac:dyDescent="0.2">
      <c r="A209" s="1041">
        <v>58</v>
      </c>
      <c r="B209" s="1041">
        <v>14</v>
      </c>
      <c r="C209" s="1042" t="s">
        <v>45</v>
      </c>
      <c r="D209" s="737" t="s">
        <v>44</v>
      </c>
      <c r="E209" s="318"/>
      <c r="F209" s="199"/>
      <c r="G209" s="199"/>
      <c r="H209" s="659"/>
      <c r="I209" s="199"/>
      <c r="J209" s="674"/>
      <c r="K209" s="200"/>
      <c r="L209" s="673"/>
      <c r="M209" s="200"/>
      <c r="N209" s="185"/>
      <c r="O209" s="658" t="s">
        <v>328</v>
      </c>
      <c r="P209" s="311">
        <v>1</v>
      </c>
      <c r="Q209" s="199">
        <v>66200</v>
      </c>
      <c r="R209" s="658">
        <v>1.04</v>
      </c>
      <c r="S209" s="199">
        <v>68850</v>
      </c>
      <c r="T209" s="658">
        <v>1.0403</v>
      </c>
      <c r="U209" s="711">
        <v>83530</v>
      </c>
      <c r="V209" s="673">
        <v>1.02</v>
      </c>
      <c r="W209" s="200">
        <v>85200</v>
      </c>
      <c r="X209" s="315">
        <v>1.05</v>
      </c>
      <c r="Y209" s="185">
        <v>1073520</v>
      </c>
      <c r="Z209" s="315"/>
      <c r="AA209" s="315"/>
      <c r="AB209" s="315"/>
      <c r="AC209" s="315"/>
      <c r="AD209" s="315"/>
      <c r="AE209" s="315"/>
      <c r="AF209" s="315"/>
      <c r="AG209" s="315"/>
      <c r="AH209" s="315"/>
      <c r="AI209" s="318"/>
      <c r="AJ209" s="199">
        <f t="shared" si="346"/>
        <v>1</v>
      </c>
      <c r="AK209" s="831">
        <v>1073520</v>
      </c>
      <c r="AL209" s="1053">
        <f>AK209+AK210</f>
        <v>2037780</v>
      </c>
      <c r="AM209" s="1052">
        <f>AL209/12*11</f>
        <v>1867965</v>
      </c>
      <c r="AN209" s="1052">
        <f>AL209/12</f>
        <v>169815</v>
      </c>
      <c r="AO209" s="184"/>
      <c r="AP209" s="318">
        <f t="shared" si="347"/>
        <v>8016</v>
      </c>
      <c r="AQ209" s="318">
        <f t="shared" si="348"/>
        <v>744</v>
      </c>
      <c r="AR209" s="318">
        <f t="shared" si="349"/>
        <v>8760</v>
      </c>
      <c r="AS209" s="1112">
        <f>AR209+AR210</f>
        <v>17520</v>
      </c>
      <c r="AT209" s="836">
        <v>122</v>
      </c>
      <c r="AU209" s="1102">
        <v>116</v>
      </c>
      <c r="AV209" s="836">
        <f t="shared" si="350"/>
        <v>1068720</v>
      </c>
      <c r="AW209" s="1096">
        <f>AS209*AU209</f>
        <v>2032320</v>
      </c>
      <c r="AX209" s="1096">
        <f>AU209*(AP209+AP210)</f>
        <v>1859712</v>
      </c>
      <c r="AY209" s="1096">
        <f>AW209-AX209</f>
        <v>172608</v>
      </c>
      <c r="AZ209" s="1097">
        <f>AW209-AX209-AY209</f>
        <v>0</v>
      </c>
      <c r="BA209" s="1103">
        <f>AW209-AL209</f>
        <v>-5460</v>
      </c>
      <c r="BB209" s="959">
        <v>2</v>
      </c>
      <c r="BC209" s="617">
        <f>AS209*AU209</f>
        <v>2032320</v>
      </c>
      <c r="BD209" s="617">
        <f>(AP209+AP210)*AU209</f>
        <v>1859712</v>
      </c>
      <c r="BE209" s="617">
        <f>BC209-BD209</f>
        <v>172608</v>
      </c>
      <c r="BF209" s="839"/>
      <c r="BG209" s="838">
        <f t="shared" ref="BG209" si="369">BC209-AW209</f>
        <v>0</v>
      </c>
      <c r="BH209" s="838">
        <f t="shared" ref="BH209" si="370">BD209-AX209</f>
        <v>0</v>
      </c>
      <c r="BI209" s="838">
        <f t="shared" ref="BI209" si="371">BE209-AY209</f>
        <v>0</v>
      </c>
    </row>
    <row r="210" spans="1:61" s="183" customFormat="1" ht="18.75" customHeight="1" x14ac:dyDescent="0.2">
      <c r="A210" s="1041"/>
      <c r="B210" s="1041"/>
      <c r="C210" s="1042"/>
      <c r="D210" s="737" t="s">
        <v>43</v>
      </c>
      <c r="E210" s="318"/>
      <c r="F210" s="199"/>
      <c r="G210" s="199"/>
      <c r="H210" s="659"/>
      <c r="I210" s="199"/>
      <c r="J210" s="674"/>
      <c r="K210" s="200"/>
      <c r="L210" s="673"/>
      <c r="M210" s="200"/>
      <c r="N210" s="185"/>
      <c r="O210" s="658" t="s">
        <v>211</v>
      </c>
      <c r="P210" s="311">
        <v>1</v>
      </c>
      <c r="Q210" s="199">
        <v>66200</v>
      </c>
      <c r="R210" s="658">
        <v>1.04</v>
      </c>
      <c r="S210" s="199">
        <v>68850</v>
      </c>
      <c r="T210" s="658">
        <v>1.0403</v>
      </c>
      <c r="U210" s="200">
        <v>71620</v>
      </c>
      <c r="V210" s="673">
        <v>1.02</v>
      </c>
      <c r="W210" s="200">
        <v>73050</v>
      </c>
      <c r="X210" s="315">
        <v>1.1000000000000001</v>
      </c>
      <c r="Y210" s="185">
        <v>964260</v>
      </c>
      <c r="Z210" s="318"/>
      <c r="AA210" s="318"/>
      <c r="AB210" s="318"/>
      <c r="AC210" s="318"/>
      <c r="AD210" s="318"/>
      <c r="AE210" s="318"/>
      <c r="AF210" s="318"/>
      <c r="AG210" s="318"/>
      <c r="AH210" s="318"/>
      <c r="AI210" s="318"/>
      <c r="AJ210" s="199">
        <f t="shared" si="346"/>
        <v>1</v>
      </c>
      <c r="AK210" s="831">
        <v>964260</v>
      </c>
      <c r="AL210" s="1053"/>
      <c r="AM210" s="1052"/>
      <c r="AN210" s="1052"/>
      <c r="AO210" s="184"/>
      <c r="AP210" s="318">
        <f t="shared" si="347"/>
        <v>8016</v>
      </c>
      <c r="AQ210" s="318">
        <f t="shared" si="348"/>
        <v>744</v>
      </c>
      <c r="AR210" s="318">
        <f t="shared" si="349"/>
        <v>8760</v>
      </c>
      <c r="AS210" s="1112"/>
      <c r="AT210" s="836">
        <v>110</v>
      </c>
      <c r="AU210" s="1102"/>
      <c r="AV210" s="836">
        <f t="shared" si="350"/>
        <v>963600</v>
      </c>
      <c r="AW210" s="1096"/>
      <c r="AX210" s="1096"/>
      <c r="AY210" s="1096"/>
      <c r="AZ210" s="1097"/>
      <c r="BA210" s="1103"/>
      <c r="BB210" s="959"/>
      <c r="BC210" s="839"/>
      <c r="BD210" s="839"/>
      <c r="BE210" s="839"/>
      <c r="BF210" s="839"/>
      <c r="BG210" s="839"/>
      <c r="BH210" s="839"/>
    </row>
    <row r="211" spans="1:61" s="183" customFormat="1" ht="18.75" customHeight="1" x14ac:dyDescent="0.2">
      <c r="A211" s="1041">
        <v>59</v>
      </c>
      <c r="B211" s="1041">
        <v>15</v>
      </c>
      <c r="C211" s="1042" t="s">
        <v>39</v>
      </c>
      <c r="D211" s="737" t="s">
        <v>38</v>
      </c>
      <c r="E211" s="318"/>
      <c r="F211" s="199"/>
      <c r="G211" s="199"/>
      <c r="H211" s="659"/>
      <c r="I211" s="199"/>
      <c r="J211" s="674"/>
      <c r="K211" s="200"/>
      <c r="L211" s="673"/>
      <c r="M211" s="200"/>
      <c r="N211" s="185"/>
      <c r="O211" s="658" t="s">
        <v>211</v>
      </c>
      <c r="P211" s="311">
        <v>1</v>
      </c>
      <c r="Q211" s="199">
        <v>66200</v>
      </c>
      <c r="R211" s="658">
        <v>1.04</v>
      </c>
      <c r="S211" s="199">
        <v>68850</v>
      </c>
      <c r="T211" s="658">
        <v>1.0403</v>
      </c>
      <c r="U211" s="200">
        <v>71620</v>
      </c>
      <c r="V211" s="673">
        <v>1.02</v>
      </c>
      <c r="W211" s="200">
        <v>73050</v>
      </c>
      <c r="X211" s="315">
        <v>1.1000000000000001</v>
      </c>
      <c r="Y211" s="185">
        <v>964260</v>
      </c>
      <c r="Z211" s="318"/>
      <c r="AA211" s="318"/>
      <c r="AB211" s="318"/>
      <c r="AC211" s="318"/>
      <c r="AD211" s="318"/>
      <c r="AE211" s="318"/>
      <c r="AF211" s="318"/>
      <c r="AG211" s="318"/>
      <c r="AH211" s="318"/>
      <c r="AI211" s="318"/>
      <c r="AJ211" s="199">
        <f t="shared" si="346"/>
        <v>1</v>
      </c>
      <c r="AK211" s="831">
        <v>964260</v>
      </c>
      <c r="AL211" s="1053">
        <f>AK211+AK212+AK213+AK214</f>
        <v>3594060</v>
      </c>
      <c r="AM211" s="1052">
        <f>AL211/12*11</f>
        <v>3294555</v>
      </c>
      <c r="AN211" s="1052">
        <f>AL211/12</f>
        <v>299505</v>
      </c>
      <c r="AO211" s="184"/>
      <c r="AP211" s="318">
        <f t="shared" si="347"/>
        <v>8016</v>
      </c>
      <c r="AQ211" s="318">
        <f t="shared" si="348"/>
        <v>744</v>
      </c>
      <c r="AR211" s="318">
        <f t="shared" si="349"/>
        <v>8760</v>
      </c>
      <c r="AS211" s="1112">
        <f>AR211+AR212+AR213+AR214</f>
        <v>35040</v>
      </c>
      <c r="AT211" s="836">
        <v>110</v>
      </c>
      <c r="AU211" s="1102">
        <v>103</v>
      </c>
      <c r="AV211" s="836">
        <f t="shared" si="350"/>
        <v>963600</v>
      </c>
      <c r="AW211" s="1096">
        <f>AS211*AU211</f>
        <v>3609120</v>
      </c>
      <c r="AX211" s="1096">
        <f>AU211*(AP211+AP212+AP213+AP214)</f>
        <v>3302592</v>
      </c>
      <c r="AY211" s="1096">
        <f>AW211-AX211</f>
        <v>306528</v>
      </c>
      <c r="AZ211" s="1106">
        <f>AW211-AX211-AY211</f>
        <v>0</v>
      </c>
      <c r="BA211" s="1103">
        <f>AW211-AL211</f>
        <v>15060</v>
      </c>
      <c r="BB211" s="959">
        <v>4</v>
      </c>
      <c r="BC211" s="617">
        <f>AS211*AU211</f>
        <v>3609120</v>
      </c>
      <c r="BD211" s="617">
        <f>(AP211+AP212+AP213+AP214)*AU211</f>
        <v>3302592</v>
      </c>
      <c r="BE211" s="617">
        <f t="shared" ref="BE211" si="372">BC211-BD211</f>
        <v>306528</v>
      </c>
      <c r="BF211" s="838"/>
      <c r="BG211" s="838">
        <f t="shared" ref="BG211" si="373">BC211-AW211</f>
        <v>0</v>
      </c>
      <c r="BH211" s="838">
        <f t="shared" ref="BH211" si="374">BD211-AX211</f>
        <v>0</v>
      </c>
      <c r="BI211" s="838">
        <f t="shared" ref="BI211" si="375">BE211-AY211</f>
        <v>0</v>
      </c>
    </row>
    <row r="212" spans="1:61" s="183" customFormat="1" ht="18.75" customHeight="1" x14ac:dyDescent="0.2">
      <c r="A212" s="1041"/>
      <c r="B212" s="1041"/>
      <c r="C212" s="1042"/>
      <c r="D212" s="737" t="s">
        <v>250</v>
      </c>
      <c r="E212" s="318"/>
      <c r="F212" s="199"/>
      <c r="G212" s="199"/>
      <c r="H212" s="659"/>
      <c r="I212" s="199"/>
      <c r="J212" s="674"/>
      <c r="K212" s="200"/>
      <c r="L212" s="673"/>
      <c r="M212" s="200"/>
      <c r="N212" s="185"/>
      <c r="O212" s="658" t="s">
        <v>211</v>
      </c>
      <c r="P212" s="311">
        <v>1</v>
      </c>
      <c r="Q212" s="199">
        <v>66200</v>
      </c>
      <c r="R212" s="658">
        <v>1.04</v>
      </c>
      <c r="S212" s="199">
        <v>68850</v>
      </c>
      <c r="T212" s="658">
        <v>1.0403</v>
      </c>
      <c r="U212" s="200">
        <v>71620</v>
      </c>
      <c r="V212" s="673">
        <v>1.02</v>
      </c>
      <c r="W212" s="200">
        <v>73050</v>
      </c>
      <c r="X212" s="315">
        <v>1</v>
      </c>
      <c r="Y212" s="185">
        <v>876600</v>
      </c>
      <c r="Z212" s="318"/>
      <c r="AA212" s="318"/>
      <c r="AB212" s="318"/>
      <c r="AC212" s="318"/>
      <c r="AD212" s="318"/>
      <c r="AE212" s="318"/>
      <c r="AF212" s="318"/>
      <c r="AG212" s="318"/>
      <c r="AH212" s="318"/>
      <c r="AI212" s="318"/>
      <c r="AJ212" s="199">
        <f t="shared" si="346"/>
        <v>1</v>
      </c>
      <c r="AK212" s="831">
        <v>876600</v>
      </c>
      <c r="AL212" s="1053"/>
      <c r="AM212" s="1052"/>
      <c r="AN212" s="1052"/>
      <c r="AO212" s="184"/>
      <c r="AP212" s="318">
        <f t="shared" si="347"/>
        <v>8016</v>
      </c>
      <c r="AQ212" s="318">
        <f t="shared" si="348"/>
        <v>744</v>
      </c>
      <c r="AR212" s="318">
        <f t="shared" si="349"/>
        <v>8760</v>
      </c>
      <c r="AS212" s="1112"/>
      <c r="AT212" s="846">
        <v>100</v>
      </c>
      <c r="AU212" s="1102"/>
      <c r="AV212" s="836">
        <f t="shared" si="350"/>
        <v>876000</v>
      </c>
      <c r="AW212" s="1096"/>
      <c r="AX212" s="1096"/>
      <c r="AY212" s="1096"/>
      <c r="AZ212" s="1107"/>
      <c r="BA212" s="1103"/>
      <c r="BB212" s="959"/>
      <c r="BC212" s="839"/>
      <c r="BD212" s="839"/>
      <c r="BE212" s="839"/>
      <c r="BF212" s="839"/>
      <c r="BG212" s="839"/>
      <c r="BH212" s="839"/>
    </row>
    <row r="213" spans="1:61" s="183" customFormat="1" ht="18.75" customHeight="1" x14ac:dyDescent="0.2">
      <c r="A213" s="1041"/>
      <c r="B213" s="1041"/>
      <c r="C213" s="1042"/>
      <c r="D213" s="737" t="s">
        <v>248</v>
      </c>
      <c r="E213" s="659" t="s">
        <v>186</v>
      </c>
      <c r="F213" s="199">
        <v>1</v>
      </c>
      <c r="G213" s="199">
        <v>66200</v>
      </c>
      <c r="H213" s="658">
        <v>1.04</v>
      </c>
      <c r="I213" s="198">
        <v>68850</v>
      </c>
      <c r="J213" s="671">
        <v>1.0403</v>
      </c>
      <c r="K213" s="200">
        <v>71620</v>
      </c>
      <c r="L213" s="673">
        <v>1.02</v>
      </c>
      <c r="M213" s="200">
        <v>73050</v>
      </c>
      <c r="N213" s="185">
        <v>876600</v>
      </c>
      <c r="O213" s="315"/>
      <c r="P213" s="311"/>
      <c r="Q213" s="199"/>
      <c r="R213" s="658"/>
      <c r="S213" s="199"/>
      <c r="T213" s="658"/>
      <c r="U213" s="200"/>
      <c r="V213" s="200"/>
      <c r="W213" s="200"/>
      <c r="X213" s="315"/>
      <c r="Y213" s="185"/>
      <c r="Z213" s="318"/>
      <c r="AA213" s="318"/>
      <c r="AB213" s="318"/>
      <c r="AC213" s="318"/>
      <c r="AD213" s="318"/>
      <c r="AE213" s="318"/>
      <c r="AF213" s="318"/>
      <c r="AG213" s="318"/>
      <c r="AH213" s="318"/>
      <c r="AI213" s="318"/>
      <c r="AJ213" s="199">
        <f t="shared" si="346"/>
        <v>1</v>
      </c>
      <c r="AK213" s="831">
        <v>876600</v>
      </c>
      <c r="AL213" s="1053"/>
      <c r="AM213" s="1052"/>
      <c r="AN213" s="1052"/>
      <c r="AO213" s="184"/>
      <c r="AP213" s="318">
        <f t="shared" si="347"/>
        <v>8016</v>
      </c>
      <c r="AQ213" s="318">
        <f t="shared" si="348"/>
        <v>744</v>
      </c>
      <c r="AR213" s="318">
        <f t="shared" si="349"/>
        <v>8760</v>
      </c>
      <c r="AS213" s="1112"/>
      <c r="AT213" s="846">
        <v>100</v>
      </c>
      <c r="AU213" s="1102"/>
      <c r="AV213" s="836">
        <f t="shared" si="350"/>
        <v>876000</v>
      </c>
      <c r="AW213" s="1096"/>
      <c r="AX213" s="1096"/>
      <c r="AY213" s="1096"/>
      <c r="AZ213" s="1107"/>
      <c r="BA213" s="1103"/>
      <c r="BB213" s="959"/>
      <c r="BC213" s="839"/>
      <c r="BD213" s="839"/>
      <c r="BE213" s="839"/>
      <c r="BF213" s="839"/>
      <c r="BG213" s="839"/>
      <c r="BH213" s="839"/>
    </row>
    <row r="214" spans="1:61" s="183" customFormat="1" ht="18.75" customHeight="1" x14ac:dyDescent="0.2">
      <c r="A214" s="1041"/>
      <c r="B214" s="1041"/>
      <c r="C214" s="1042"/>
      <c r="D214" s="739" t="s">
        <v>249</v>
      </c>
      <c r="E214" s="659" t="s">
        <v>186</v>
      </c>
      <c r="F214" s="199">
        <v>1</v>
      </c>
      <c r="G214" s="199">
        <v>66200</v>
      </c>
      <c r="H214" s="658">
        <v>1.04</v>
      </c>
      <c r="I214" s="198">
        <v>68850</v>
      </c>
      <c r="J214" s="671">
        <v>1.0403</v>
      </c>
      <c r="K214" s="200">
        <v>71620</v>
      </c>
      <c r="L214" s="673">
        <v>1.02</v>
      </c>
      <c r="M214" s="200">
        <v>73050</v>
      </c>
      <c r="N214" s="185">
        <v>876600</v>
      </c>
      <c r="O214" s="315"/>
      <c r="P214" s="311"/>
      <c r="Q214" s="199"/>
      <c r="R214" s="658"/>
      <c r="S214" s="199"/>
      <c r="T214" s="658"/>
      <c r="U214" s="200"/>
      <c r="V214" s="200"/>
      <c r="W214" s="200"/>
      <c r="X214" s="315"/>
      <c r="Y214" s="185"/>
      <c r="Z214" s="318"/>
      <c r="AA214" s="318"/>
      <c r="AB214" s="318"/>
      <c r="AC214" s="318"/>
      <c r="AD214" s="318"/>
      <c r="AE214" s="318"/>
      <c r="AF214" s="318"/>
      <c r="AG214" s="318"/>
      <c r="AH214" s="318"/>
      <c r="AI214" s="318"/>
      <c r="AJ214" s="199">
        <f t="shared" si="346"/>
        <v>1</v>
      </c>
      <c r="AK214" s="831">
        <v>876600</v>
      </c>
      <c r="AL214" s="1053"/>
      <c r="AM214" s="1052"/>
      <c r="AN214" s="1052"/>
      <c r="AO214" s="184"/>
      <c r="AP214" s="318">
        <f t="shared" si="347"/>
        <v>8016</v>
      </c>
      <c r="AQ214" s="318">
        <f t="shared" si="348"/>
        <v>744</v>
      </c>
      <c r="AR214" s="318">
        <f t="shared" si="349"/>
        <v>8760</v>
      </c>
      <c r="AS214" s="1112"/>
      <c r="AT214" s="846">
        <v>100</v>
      </c>
      <c r="AU214" s="1102"/>
      <c r="AV214" s="836">
        <f t="shared" si="350"/>
        <v>876000</v>
      </c>
      <c r="AW214" s="1096"/>
      <c r="AX214" s="1096"/>
      <c r="AY214" s="1096"/>
      <c r="AZ214" s="1108"/>
      <c r="BA214" s="1103"/>
      <c r="BB214" s="959"/>
      <c r="BC214" s="839"/>
      <c r="BD214" s="839"/>
      <c r="BE214" s="839"/>
      <c r="BF214" s="839"/>
      <c r="BG214" s="839"/>
      <c r="BH214" s="839"/>
    </row>
    <row r="215" spans="1:61" s="183" customFormat="1" ht="18.75" customHeight="1" x14ac:dyDescent="0.2">
      <c r="A215" s="1041">
        <v>60</v>
      </c>
      <c r="B215" s="1041">
        <v>16</v>
      </c>
      <c r="C215" s="1042" t="s">
        <v>26</v>
      </c>
      <c r="D215" s="737" t="s">
        <v>25</v>
      </c>
      <c r="E215" s="318"/>
      <c r="F215" s="199"/>
      <c r="G215" s="199"/>
      <c r="H215" s="659"/>
      <c r="I215" s="199"/>
      <c r="J215" s="674"/>
      <c r="K215" s="200"/>
      <c r="L215" s="673"/>
      <c r="M215" s="200"/>
      <c r="N215" s="185"/>
      <c r="O215" s="658" t="s">
        <v>211</v>
      </c>
      <c r="P215" s="311">
        <v>1</v>
      </c>
      <c r="Q215" s="199">
        <v>66200</v>
      </c>
      <c r="R215" s="658">
        <v>1.04</v>
      </c>
      <c r="S215" s="199">
        <v>68850</v>
      </c>
      <c r="T215" s="658">
        <v>1.0403</v>
      </c>
      <c r="U215" s="200">
        <v>71620</v>
      </c>
      <c r="V215" s="673">
        <v>1.02</v>
      </c>
      <c r="W215" s="200">
        <v>73050</v>
      </c>
      <c r="X215" s="315">
        <v>1.05</v>
      </c>
      <c r="Y215" s="185">
        <v>920430</v>
      </c>
      <c r="Z215" s="318"/>
      <c r="AA215" s="318"/>
      <c r="AB215" s="318"/>
      <c r="AC215" s="318"/>
      <c r="AD215" s="318"/>
      <c r="AE215" s="318"/>
      <c r="AF215" s="318"/>
      <c r="AG215" s="318"/>
      <c r="AH215" s="318"/>
      <c r="AI215" s="318"/>
      <c r="AJ215" s="199">
        <f t="shared" si="346"/>
        <v>1</v>
      </c>
      <c r="AK215" s="831">
        <v>920430</v>
      </c>
      <c r="AL215" s="1053">
        <f>AK215+AK216</f>
        <v>1797030</v>
      </c>
      <c r="AM215" s="1052">
        <f>AL215/12*11</f>
        <v>1647277.5</v>
      </c>
      <c r="AN215" s="1052">
        <f>AL215/12</f>
        <v>149752.5</v>
      </c>
      <c r="AO215" s="184"/>
      <c r="AP215" s="318">
        <f t="shared" si="347"/>
        <v>8016</v>
      </c>
      <c r="AQ215" s="318">
        <f t="shared" si="348"/>
        <v>744</v>
      </c>
      <c r="AR215" s="318">
        <f t="shared" si="349"/>
        <v>8760</v>
      </c>
      <c r="AS215" s="1112">
        <f>AR215+AR216</f>
        <v>17520</v>
      </c>
      <c r="AT215" s="836">
        <v>105</v>
      </c>
      <c r="AU215" s="1102">
        <v>102</v>
      </c>
      <c r="AV215" s="836">
        <f t="shared" si="350"/>
        <v>919800</v>
      </c>
      <c r="AW215" s="1096">
        <f>AU215*AS215</f>
        <v>1787040</v>
      </c>
      <c r="AX215" s="1096">
        <f>AU215*(AP215+AP216)</f>
        <v>1635264</v>
      </c>
      <c r="AY215" s="1096">
        <f>AW215-AX215</f>
        <v>151776</v>
      </c>
      <c r="AZ215" s="1097">
        <f>AW215-AX215-AY215</f>
        <v>0</v>
      </c>
      <c r="BA215" s="1103">
        <f>AW215-AL215</f>
        <v>-9990</v>
      </c>
      <c r="BB215" s="959">
        <v>2</v>
      </c>
      <c r="BC215" s="617">
        <f>AS215*AU215</f>
        <v>1787040</v>
      </c>
      <c r="BD215" s="617">
        <f>(AP215+AP216)*AU215</f>
        <v>1635264</v>
      </c>
      <c r="BE215" s="617">
        <f>BC215-BD215</f>
        <v>151776</v>
      </c>
      <c r="BF215" s="839"/>
      <c r="BG215" s="838">
        <f t="shared" ref="BG215" si="376">BC215-AW215</f>
        <v>0</v>
      </c>
      <c r="BH215" s="838">
        <f t="shared" ref="BH215" si="377">BD215-AX215</f>
        <v>0</v>
      </c>
      <c r="BI215" s="838">
        <f t="shared" ref="BI215" si="378">BE215-AY215</f>
        <v>0</v>
      </c>
    </row>
    <row r="216" spans="1:61" s="183" customFormat="1" ht="18.75" customHeight="1" x14ac:dyDescent="0.2">
      <c r="A216" s="1041"/>
      <c r="B216" s="1041"/>
      <c r="C216" s="1042"/>
      <c r="D216" s="737" t="s">
        <v>24</v>
      </c>
      <c r="E216" s="318"/>
      <c r="F216" s="199"/>
      <c r="G216" s="199"/>
      <c r="H216" s="659"/>
      <c r="I216" s="199"/>
      <c r="J216" s="674"/>
      <c r="K216" s="200"/>
      <c r="L216" s="673"/>
      <c r="M216" s="200"/>
      <c r="N216" s="185"/>
      <c r="O216" s="658" t="s">
        <v>211</v>
      </c>
      <c r="P216" s="311">
        <v>1</v>
      </c>
      <c r="Q216" s="199">
        <v>66200</v>
      </c>
      <c r="R216" s="658">
        <v>1.04</v>
      </c>
      <c r="S216" s="199">
        <v>68850</v>
      </c>
      <c r="T216" s="658">
        <v>1.0403</v>
      </c>
      <c r="U216" s="200">
        <v>71620</v>
      </c>
      <c r="V216" s="673">
        <v>1.02</v>
      </c>
      <c r="W216" s="200">
        <v>73050</v>
      </c>
      <c r="X216" s="315">
        <v>1</v>
      </c>
      <c r="Y216" s="185">
        <v>876600</v>
      </c>
      <c r="Z216" s="318"/>
      <c r="AA216" s="318"/>
      <c r="AB216" s="318"/>
      <c r="AC216" s="318"/>
      <c r="AD216" s="318"/>
      <c r="AE216" s="318"/>
      <c r="AF216" s="318"/>
      <c r="AG216" s="318"/>
      <c r="AH216" s="318"/>
      <c r="AI216" s="318"/>
      <c r="AJ216" s="199">
        <f t="shared" si="346"/>
        <v>1</v>
      </c>
      <c r="AK216" s="831">
        <v>876600</v>
      </c>
      <c r="AL216" s="1053"/>
      <c r="AM216" s="1052"/>
      <c r="AN216" s="1052"/>
      <c r="AO216" s="184"/>
      <c r="AP216" s="318">
        <f t="shared" si="347"/>
        <v>8016</v>
      </c>
      <c r="AQ216" s="318">
        <f t="shared" si="348"/>
        <v>744</v>
      </c>
      <c r="AR216" s="318">
        <f t="shared" si="349"/>
        <v>8760</v>
      </c>
      <c r="AS216" s="1112"/>
      <c r="AT216" s="846">
        <v>100</v>
      </c>
      <c r="AU216" s="1102"/>
      <c r="AV216" s="836">
        <f t="shared" si="350"/>
        <v>876000</v>
      </c>
      <c r="AW216" s="1096"/>
      <c r="AX216" s="1096"/>
      <c r="AY216" s="1096"/>
      <c r="AZ216" s="1097"/>
      <c r="BA216" s="1103"/>
      <c r="BB216" s="959"/>
      <c r="BC216" s="839"/>
      <c r="BD216" s="839"/>
      <c r="BE216" s="839"/>
      <c r="BF216" s="839"/>
      <c r="BG216" s="839"/>
      <c r="BH216" s="839"/>
    </row>
    <row r="217" spans="1:61" s="183" customFormat="1" ht="18.75" customHeight="1" x14ac:dyDescent="0.2">
      <c r="A217" s="726">
        <v>61</v>
      </c>
      <c r="B217" s="726">
        <v>17</v>
      </c>
      <c r="C217" s="462" t="s">
        <v>23</v>
      </c>
      <c r="D217" s="737" t="s">
        <v>317</v>
      </c>
      <c r="E217" s="318"/>
      <c r="F217" s="199"/>
      <c r="G217" s="199"/>
      <c r="H217" s="659"/>
      <c r="I217" s="199"/>
      <c r="J217" s="674"/>
      <c r="K217" s="200"/>
      <c r="L217" s="673"/>
      <c r="M217" s="200"/>
      <c r="N217" s="185"/>
      <c r="O217" s="658" t="s">
        <v>211</v>
      </c>
      <c r="P217" s="311">
        <v>1</v>
      </c>
      <c r="Q217" s="199">
        <v>66200</v>
      </c>
      <c r="R217" s="658"/>
      <c r="S217" s="199">
        <v>68850</v>
      </c>
      <c r="T217" s="658">
        <v>1.0403</v>
      </c>
      <c r="U217" s="200">
        <v>71620</v>
      </c>
      <c r="V217" s="673">
        <v>1.02</v>
      </c>
      <c r="W217" s="200">
        <f>Y217/12</f>
        <v>16477.916666666668</v>
      </c>
      <c r="X217" s="315">
        <v>1</v>
      </c>
      <c r="Y217" s="185">
        <v>197735</v>
      </c>
      <c r="Z217" s="318"/>
      <c r="AA217" s="318"/>
      <c r="AB217" s="318"/>
      <c r="AC217" s="318"/>
      <c r="AD217" s="318"/>
      <c r="AE217" s="318"/>
      <c r="AF217" s="318"/>
      <c r="AG217" s="318"/>
      <c r="AH217" s="318"/>
      <c r="AI217" s="318"/>
      <c r="AJ217" s="199">
        <f t="shared" si="346"/>
        <v>1</v>
      </c>
      <c r="AK217" s="831">
        <v>197735</v>
      </c>
      <c r="AL217" s="200">
        <f>AK217</f>
        <v>197735</v>
      </c>
      <c r="AM217" s="199">
        <f>AL217/12*11</f>
        <v>181257.08333333334</v>
      </c>
      <c r="AN217" s="199">
        <f>AL217/12</f>
        <v>16477.916666666668</v>
      </c>
      <c r="AO217" s="184"/>
      <c r="AP217" s="876">
        <f>8*(279)*1</f>
        <v>2232</v>
      </c>
      <c r="AQ217" s="876">
        <f>8*19</f>
        <v>152</v>
      </c>
      <c r="AR217" s="876">
        <f t="shared" si="349"/>
        <v>2384</v>
      </c>
      <c r="AS217" s="936">
        <f>AR217</f>
        <v>2384</v>
      </c>
      <c r="AT217" s="836">
        <v>82</v>
      </c>
      <c r="AU217" s="953">
        <v>82</v>
      </c>
      <c r="AV217" s="836">
        <f t="shared" si="350"/>
        <v>195488</v>
      </c>
      <c r="AW217" s="885">
        <f>AV217</f>
        <v>195488</v>
      </c>
      <c r="AX217" s="885">
        <f>AU217*AP217</f>
        <v>183024</v>
      </c>
      <c r="AY217" s="885">
        <f>AW217-AX217</f>
        <v>12464</v>
      </c>
      <c r="AZ217" s="387">
        <f>AW217-AX217-AY217</f>
        <v>0</v>
      </c>
      <c r="BA217" s="596">
        <f>AW217-AL217</f>
        <v>-2247</v>
      </c>
      <c r="BB217" s="959">
        <v>1</v>
      </c>
      <c r="BC217" s="617">
        <f t="shared" ref="BC217" si="379">AS217*AU217</f>
        <v>195488</v>
      </c>
      <c r="BD217" s="617">
        <f t="shared" ref="BD217" si="380">(AP217)*AU217</f>
        <v>183024</v>
      </c>
      <c r="BE217" s="617">
        <f t="shared" ref="BE217" si="381">BC217-BD217</f>
        <v>12464</v>
      </c>
      <c r="BF217" s="838"/>
      <c r="BG217" s="838">
        <f t="shared" ref="BG217" si="382">BC217-AW217</f>
        <v>0</v>
      </c>
      <c r="BH217" s="838">
        <f t="shared" ref="BH217" si="383">BD217-AX217</f>
        <v>0</v>
      </c>
      <c r="BI217" s="838">
        <f t="shared" ref="BI217" si="384">BE217-AY217</f>
        <v>0</v>
      </c>
    </row>
    <row r="218" spans="1:61" s="775" customFormat="1" ht="18.75" customHeight="1" x14ac:dyDescent="0.2">
      <c r="A218" s="768"/>
      <c r="B218" s="768"/>
      <c r="C218" s="769" t="s">
        <v>1</v>
      </c>
      <c r="D218" s="770"/>
      <c r="E218" s="771"/>
      <c r="F218" s="772">
        <f>SUM(F193:F217)</f>
        <v>7</v>
      </c>
      <c r="G218" s="772"/>
      <c r="H218" s="772"/>
      <c r="I218" s="772"/>
      <c r="J218" s="772"/>
      <c r="K218" s="772"/>
      <c r="L218" s="772"/>
      <c r="M218" s="772"/>
      <c r="N218" s="772">
        <f>SUM(N193:N217)</f>
        <v>6355080</v>
      </c>
      <c r="O218" s="772"/>
      <c r="P218" s="772">
        <f>SUM(P193:P217)</f>
        <v>18</v>
      </c>
      <c r="Q218" s="772"/>
      <c r="R218" s="772"/>
      <c r="S218" s="772"/>
      <c r="T218" s="772"/>
      <c r="U218" s="772"/>
      <c r="V218" s="772"/>
      <c r="W218" s="773"/>
      <c r="X218" s="772"/>
      <c r="Y218" s="772">
        <f>SUM(Y193:Y217)</f>
        <v>18526577</v>
      </c>
      <c r="Z218" s="772"/>
      <c r="AA218" s="772">
        <f>SUM(AA193:AA217)</f>
        <v>0</v>
      </c>
      <c r="AB218" s="772"/>
      <c r="AC218" s="772"/>
      <c r="AD218" s="772"/>
      <c r="AE218" s="772"/>
      <c r="AF218" s="772"/>
      <c r="AG218" s="772"/>
      <c r="AH218" s="772"/>
      <c r="AI218" s="772">
        <f t="shared" ref="AI218:AS218" si="385">SUM(AI193:AI217)</f>
        <v>0</v>
      </c>
      <c r="AJ218" s="772">
        <f t="shared" si="385"/>
        <v>25</v>
      </c>
      <c r="AK218" s="879">
        <f t="shared" si="385"/>
        <v>24881657</v>
      </c>
      <c r="AL218" s="813">
        <f t="shared" si="385"/>
        <v>24881657</v>
      </c>
      <c r="AM218" s="879">
        <f t="shared" si="385"/>
        <v>22808185.583333332</v>
      </c>
      <c r="AN218" s="879">
        <f t="shared" si="385"/>
        <v>2073471.4166666667</v>
      </c>
      <c r="AO218" s="774"/>
      <c r="AP218" s="771">
        <f t="shared" si="385"/>
        <v>194616</v>
      </c>
      <c r="AQ218" s="771">
        <f t="shared" si="385"/>
        <v>18008</v>
      </c>
      <c r="AR218" s="771">
        <f t="shared" si="385"/>
        <v>212624</v>
      </c>
      <c r="AS218" s="928">
        <f t="shared" si="385"/>
        <v>212624</v>
      </c>
      <c r="AT218" s="822">
        <f>AV218/AR218</f>
        <v>116.73116863571374</v>
      </c>
      <c r="AU218" s="944">
        <f>AW218/AS218</f>
        <v>117.06076454210249</v>
      </c>
      <c r="AV218" s="859">
        <f t="shared" ref="AV218" si="386">SUM(AV193:AV217)</f>
        <v>24819848</v>
      </c>
      <c r="AW218" s="887">
        <f t="shared" ref="AW218" si="387">SUM(AW193:AW217)</f>
        <v>24889928</v>
      </c>
      <c r="AX218" s="887">
        <f>SUM(AX193:AX217)</f>
        <v>22780128</v>
      </c>
      <c r="AY218" s="887">
        <f t="shared" ref="AY218" si="388">SUM(AY193:AY217)</f>
        <v>2109800</v>
      </c>
      <c r="AZ218" s="848"/>
      <c r="BA218" s="183"/>
      <c r="BB218" s="961"/>
      <c r="BC218" s="970">
        <f t="shared" ref="BC218" si="389">AS218*AU218</f>
        <v>24889928</v>
      </c>
      <c r="BD218" s="979">
        <f t="shared" ref="BD218" si="390">(AP218)*AU218</f>
        <v>22781897.752125818</v>
      </c>
      <c r="BE218" s="979">
        <f t="shared" ref="BE218" si="391">BC218-BD218</f>
        <v>2108030.2478741817</v>
      </c>
      <c r="BF218" s="970"/>
      <c r="BG218" s="970">
        <f t="shared" ref="BG218" si="392">BC218-AW218</f>
        <v>0</v>
      </c>
      <c r="BH218" s="979">
        <f t="shared" ref="BH218" si="393">BD218-AX218</f>
        <v>1769.7521258182824</v>
      </c>
      <c r="BI218" s="979">
        <f t="shared" ref="BI218" si="394">BE218-AY218</f>
        <v>-1769.7521258182824</v>
      </c>
    </row>
    <row r="219" spans="1:61" s="807" customFormat="1" ht="18.75" customHeight="1" x14ac:dyDescent="0.2">
      <c r="A219" s="802"/>
      <c r="B219" s="802"/>
      <c r="C219" s="803" t="s">
        <v>0</v>
      </c>
      <c r="D219" s="804"/>
      <c r="E219" s="805"/>
      <c r="F219" s="806">
        <f>F192+F218</f>
        <v>19</v>
      </c>
      <c r="G219" s="806"/>
      <c r="H219" s="806"/>
      <c r="I219" s="806"/>
      <c r="J219" s="806"/>
      <c r="K219" s="806"/>
      <c r="L219" s="806"/>
      <c r="M219" s="806"/>
      <c r="N219" s="806">
        <f>N192+N218</f>
        <v>17676840</v>
      </c>
      <c r="O219" s="806"/>
      <c r="P219" s="806">
        <f>P192+P218</f>
        <v>18</v>
      </c>
      <c r="Q219" s="806"/>
      <c r="R219" s="806"/>
      <c r="S219" s="806"/>
      <c r="T219" s="806"/>
      <c r="U219" s="806"/>
      <c r="V219" s="806"/>
      <c r="W219" s="806"/>
      <c r="X219" s="806"/>
      <c r="Y219" s="806">
        <f>Y192+Y218</f>
        <v>18526577</v>
      </c>
      <c r="Z219" s="806"/>
      <c r="AA219" s="806">
        <f>AA192+AA218</f>
        <v>0</v>
      </c>
      <c r="AB219" s="806"/>
      <c r="AC219" s="806"/>
      <c r="AD219" s="806"/>
      <c r="AE219" s="806"/>
      <c r="AF219" s="806"/>
      <c r="AG219" s="806"/>
      <c r="AH219" s="806"/>
      <c r="AI219" s="806">
        <f t="shared" ref="AI219:AS219" si="395">AI192+AI218</f>
        <v>0</v>
      </c>
      <c r="AJ219" s="806">
        <f t="shared" si="395"/>
        <v>37</v>
      </c>
      <c r="AK219" s="884">
        <f t="shared" si="395"/>
        <v>36203417</v>
      </c>
      <c r="AL219" s="819">
        <f t="shared" si="395"/>
        <v>36203417</v>
      </c>
      <c r="AM219" s="884">
        <f t="shared" si="395"/>
        <v>33186465.583333332</v>
      </c>
      <c r="AN219" s="884">
        <f t="shared" si="395"/>
        <v>3016951.416666667</v>
      </c>
      <c r="AP219" s="805">
        <f t="shared" si="395"/>
        <v>290808</v>
      </c>
      <c r="AQ219" s="805">
        <f t="shared" si="395"/>
        <v>26936</v>
      </c>
      <c r="AR219" s="805">
        <f t="shared" si="395"/>
        <v>317744</v>
      </c>
      <c r="AS219" s="928">
        <f t="shared" si="395"/>
        <v>317744</v>
      </c>
      <c r="AT219" s="829">
        <f>AV219/AR219</f>
        <v>113.62206052671333</v>
      </c>
      <c r="AU219" s="944">
        <f>AW219/AS219</f>
        <v>113.89775416687648</v>
      </c>
      <c r="AV219" s="864">
        <f t="shared" ref="AV219" si="396">AV192+AV218</f>
        <v>36102728</v>
      </c>
      <c r="AW219" s="893">
        <f>AW192+AW218</f>
        <v>36190328</v>
      </c>
      <c r="AX219" s="893">
        <f t="shared" ref="AX219" si="397">AX192+AX218</f>
        <v>33122280</v>
      </c>
      <c r="AY219" s="893">
        <f t="shared" ref="AY219" si="398">AY192+AY218</f>
        <v>3068048</v>
      </c>
      <c r="AZ219" s="856"/>
      <c r="BA219" s="183"/>
      <c r="BB219" s="980"/>
      <c r="BC219" s="819">
        <f>BC192+BC218</f>
        <v>36190328</v>
      </c>
      <c r="BD219" s="981">
        <f t="shared" ref="BD219:BE219" si="399">BD192+BD218</f>
        <v>33122537.752125818</v>
      </c>
      <c r="BE219" s="981">
        <f t="shared" si="399"/>
        <v>3067790.2478741817</v>
      </c>
      <c r="BF219" s="980"/>
      <c r="BG219" s="980">
        <f t="shared" ref="BG219" si="400">BC219-AW219</f>
        <v>0</v>
      </c>
      <c r="BH219" s="980">
        <f t="shared" ref="BH219" si="401">BD219-AX219</f>
        <v>257.75212581828237</v>
      </c>
      <c r="BI219" s="980">
        <f t="shared" ref="BI219" si="402">BE219-AY219</f>
        <v>-257.75212581828237</v>
      </c>
    </row>
    <row r="220" spans="1:61" x14ac:dyDescent="0.25">
      <c r="AM220" s="252"/>
      <c r="AQ220" s="237"/>
      <c r="AR220" s="237"/>
      <c r="AS220" s="937"/>
      <c r="AX220" s="188"/>
      <c r="AY220" s="188"/>
    </row>
    <row r="221" spans="1:61" x14ac:dyDescent="0.25">
      <c r="AM221" s="252"/>
      <c r="AQ221" s="237"/>
      <c r="AR221" s="237"/>
      <c r="AS221" s="937"/>
      <c r="AX221" s="188"/>
      <c r="AY221" s="188"/>
    </row>
    <row r="222" spans="1:61" s="201" customFormat="1" ht="36" customHeight="1" x14ac:dyDescent="0.2">
      <c r="A222" s="684"/>
      <c r="B222" s="684"/>
      <c r="C222" s="680" t="s">
        <v>0</v>
      </c>
      <c r="D222" s="729"/>
      <c r="E222" s="545"/>
      <c r="F222" s="180">
        <f>F54+F122+F176+F219</f>
        <v>96.5</v>
      </c>
      <c r="G222" s="180"/>
      <c r="H222" s="180"/>
      <c r="I222" s="180"/>
      <c r="J222" s="180"/>
      <c r="K222" s="180"/>
      <c r="L222" s="180"/>
      <c r="M222" s="180"/>
      <c r="N222" s="180">
        <f>N54+N122+N176+N219</f>
        <v>90611100</v>
      </c>
      <c r="O222" s="180"/>
      <c r="P222" s="180">
        <f>P54+P122+P176+P219</f>
        <v>54</v>
      </c>
      <c r="Q222" s="180"/>
      <c r="R222" s="180"/>
      <c r="S222" s="180"/>
      <c r="T222" s="180"/>
      <c r="U222" s="180"/>
      <c r="V222" s="180"/>
      <c r="W222" s="180"/>
      <c r="X222" s="180"/>
      <c r="Y222" s="180">
        <f>Y54+Y122+Y176+Y219</f>
        <v>62735333</v>
      </c>
      <c r="Z222" s="180"/>
      <c r="AA222" s="180">
        <f>AA54+AA122+AA176+AA219</f>
        <v>5.5</v>
      </c>
      <c r="AB222" s="180"/>
      <c r="AC222" s="180"/>
      <c r="AD222" s="180"/>
      <c r="AE222" s="180"/>
      <c r="AF222" s="180"/>
      <c r="AG222" s="180"/>
      <c r="AH222" s="180"/>
      <c r="AI222" s="180">
        <f t="shared" ref="AI222:AN222" si="403">AI54+AI122+AI176+AI219</f>
        <v>4821300</v>
      </c>
      <c r="AJ222" s="180">
        <f t="shared" si="403"/>
        <v>156</v>
      </c>
      <c r="AK222" s="622">
        <f t="shared" si="403"/>
        <v>158167733</v>
      </c>
      <c r="AL222" s="180">
        <f t="shared" si="403"/>
        <v>158167733</v>
      </c>
      <c r="AM222" s="622">
        <f t="shared" si="403"/>
        <v>144987088.58333334</v>
      </c>
      <c r="AN222" s="622">
        <f t="shared" si="403"/>
        <v>13180644.416666668</v>
      </c>
      <c r="AO222" s="183"/>
      <c r="AP222" s="545">
        <f t="shared" ref="AP222" si="404">AP54+AP122+AP176+AP219</f>
        <v>1244712</v>
      </c>
      <c r="AQ222" s="545">
        <f t="shared" ref="AQ222:AY222" si="405">AQ54+AQ122+AQ176+AQ219</f>
        <v>115472</v>
      </c>
      <c r="AR222" s="545">
        <f t="shared" si="405"/>
        <v>1360184</v>
      </c>
      <c r="AS222" s="928">
        <f t="shared" ref="AS222" si="406">AS54+AS122+AS176+AS219</f>
        <v>1360184</v>
      </c>
      <c r="AT222" s="830">
        <f>AV222/AR222</f>
        <v>115.90176623162749</v>
      </c>
      <c r="AU222" s="954">
        <f>AW222/AS222</f>
        <v>116.18513965757575</v>
      </c>
      <c r="AV222" s="865">
        <f t="shared" si="405"/>
        <v>157647728</v>
      </c>
      <c r="AW222" s="180">
        <f t="shared" si="405"/>
        <v>158033168</v>
      </c>
      <c r="AX222" s="180">
        <f t="shared" si="405"/>
        <v>144622851</v>
      </c>
      <c r="AY222" s="180">
        <f t="shared" si="405"/>
        <v>13410317</v>
      </c>
      <c r="AZ222" s="850"/>
      <c r="BA222" s="183">
        <f>SUM(BA8:BA217)</f>
        <v>-131085.00000000163</v>
      </c>
      <c r="BB222" s="962"/>
      <c r="BC222" s="180">
        <f t="shared" ref="BC222:BE222" si="407">BC54+BC122+BC176+BC219</f>
        <v>158033168</v>
      </c>
      <c r="BD222" s="982">
        <f t="shared" si="407"/>
        <v>144617081.75212583</v>
      </c>
      <c r="BE222" s="982">
        <f t="shared" si="407"/>
        <v>13416086.247874182</v>
      </c>
      <c r="BF222" s="825"/>
      <c r="BG222" s="180">
        <f t="shared" ref="BG222:BI222" si="408">BG54+BG122+BG176+BG219</f>
        <v>0</v>
      </c>
      <c r="BH222" s="982">
        <f t="shared" si="408"/>
        <v>-5769.2478741817176</v>
      </c>
      <c r="BI222" s="982">
        <f t="shared" si="408"/>
        <v>5769.2478741817176</v>
      </c>
    </row>
  </sheetData>
  <autoFilter ref="B4:AP55" xr:uid="{00000000-0009-0000-0000-000002000000}"/>
  <mergeCells count="588">
    <mergeCell ref="BA86:BA87"/>
    <mergeCell ref="AZ102:AZ106"/>
    <mergeCell ref="BA102:BA106"/>
    <mergeCell ref="AZ130:AZ134"/>
    <mergeCell ref="BA130:BA134"/>
    <mergeCell ref="AZ201:AZ205"/>
    <mergeCell ref="BA201:BA205"/>
    <mergeCell ref="AZ186:AZ188"/>
    <mergeCell ref="BA186:BA188"/>
    <mergeCell ref="AZ193:AZ195"/>
    <mergeCell ref="BA193:BA195"/>
    <mergeCell ref="AZ113:AZ116"/>
    <mergeCell ref="BA113:BA116"/>
    <mergeCell ref="AZ169:AZ172"/>
    <mergeCell ref="BA169:BA172"/>
    <mergeCell ref="BA189:BA190"/>
    <mergeCell ref="AZ196:AZ197"/>
    <mergeCell ref="BA196:BA197"/>
    <mergeCell ref="AZ199:AZ200"/>
    <mergeCell ref="BA199:BA200"/>
    <mergeCell ref="BA159:BA167"/>
    <mergeCell ref="AS107:AS109"/>
    <mergeCell ref="AS110:AS112"/>
    <mergeCell ref="AS136:AS138"/>
    <mergeCell ref="AS186:AS188"/>
    <mergeCell ref="AS193:AS195"/>
    <mergeCell ref="AS206:AS208"/>
    <mergeCell ref="AS31:AS36"/>
    <mergeCell ref="AS38:AS42"/>
    <mergeCell ref="AS47:AS52"/>
    <mergeCell ref="AS86:AS87"/>
    <mergeCell ref="AS90:AS95"/>
    <mergeCell ref="AS96:AS101"/>
    <mergeCell ref="AS102:AS106"/>
    <mergeCell ref="AS113:AS116"/>
    <mergeCell ref="AS130:AS134"/>
    <mergeCell ref="AS141:AS148"/>
    <mergeCell ref="AS149:AS156"/>
    <mergeCell ref="AS201:AS205"/>
    <mergeCell ref="AS117:AS118"/>
    <mergeCell ref="AS119:AS120"/>
    <mergeCell ref="AS127:AS128"/>
    <mergeCell ref="AS211:AS214"/>
    <mergeCell ref="AU199:AU200"/>
    <mergeCell ref="AU209:AU210"/>
    <mergeCell ref="AU215:AU216"/>
    <mergeCell ref="AU141:AU148"/>
    <mergeCell ref="AU149:AU156"/>
    <mergeCell ref="AS209:AS210"/>
    <mergeCell ref="AU169:AU172"/>
    <mergeCell ref="AU173:AU174"/>
    <mergeCell ref="AU186:AU188"/>
    <mergeCell ref="AU193:AU195"/>
    <mergeCell ref="AU201:AU205"/>
    <mergeCell ref="AS215:AS216"/>
    <mergeCell ref="AU206:AU208"/>
    <mergeCell ref="AU211:AU214"/>
    <mergeCell ref="AS157:AS158"/>
    <mergeCell ref="AS173:AS174"/>
    <mergeCell ref="AS181:AS182"/>
    <mergeCell ref="AS184:AS185"/>
    <mergeCell ref="AS196:AS197"/>
    <mergeCell ref="AS199:AS200"/>
    <mergeCell ref="AS159:AS167"/>
    <mergeCell ref="AS169:AS172"/>
    <mergeCell ref="AS189:AS190"/>
    <mergeCell ref="AP2:AS2"/>
    <mergeCell ref="AS3:AS4"/>
    <mergeCell ref="AS8:AS9"/>
    <mergeCell ref="AS13:AS14"/>
    <mergeCell ref="AS15:AS16"/>
    <mergeCell ref="AS17:AS18"/>
    <mergeCell ref="AS25:AS26"/>
    <mergeCell ref="AS27:AS28"/>
    <mergeCell ref="AS82:AS83"/>
    <mergeCell ref="AP3:AP4"/>
    <mergeCell ref="AQ3:AQ4"/>
    <mergeCell ref="AR3:AR4"/>
    <mergeCell ref="AS10:AS12"/>
    <mergeCell ref="AU27:AU28"/>
    <mergeCell ref="AU82:AU83"/>
    <mergeCell ref="AU86:AU87"/>
    <mergeCell ref="AU127:AU128"/>
    <mergeCell ref="AU181:AU182"/>
    <mergeCell ref="AU184:AU185"/>
    <mergeCell ref="AU189:AU190"/>
    <mergeCell ref="AU196:AU197"/>
    <mergeCell ref="AU31:AU36"/>
    <mergeCell ref="AU38:AU42"/>
    <mergeCell ref="AU47:AU52"/>
    <mergeCell ref="AU90:AU95"/>
    <mergeCell ref="AU96:AU101"/>
    <mergeCell ref="AU102:AU106"/>
    <mergeCell ref="AU107:AU109"/>
    <mergeCell ref="AU110:AU112"/>
    <mergeCell ref="AU113:AU116"/>
    <mergeCell ref="AU117:AU118"/>
    <mergeCell ref="AU119:AU120"/>
    <mergeCell ref="AU130:AU134"/>
    <mergeCell ref="AU136:AU138"/>
    <mergeCell ref="AU157:AU158"/>
    <mergeCell ref="AU159:AU167"/>
    <mergeCell ref="AZ209:AZ210"/>
    <mergeCell ref="BA209:BA210"/>
    <mergeCell ref="AZ215:AZ216"/>
    <mergeCell ref="BA215:BA216"/>
    <mergeCell ref="AZ206:AZ208"/>
    <mergeCell ref="BA206:BA208"/>
    <mergeCell ref="AZ211:AZ214"/>
    <mergeCell ref="BA211:BA214"/>
    <mergeCell ref="BA127:BA128"/>
    <mergeCell ref="AZ157:AZ158"/>
    <mergeCell ref="BA157:BA158"/>
    <mergeCell ref="AZ173:AZ174"/>
    <mergeCell ref="BA173:BA174"/>
    <mergeCell ref="AZ181:AZ182"/>
    <mergeCell ref="BA181:BA182"/>
    <mergeCell ref="AZ184:AZ185"/>
    <mergeCell ref="BA184:BA185"/>
    <mergeCell ref="AZ136:AZ138"/>
    <mergeCell ref="BA136:BA138"/>
    <mergeCell ref="AZ141:AZ148"/>
    <mergeCell ref="BA141:BA148"/>
    <mergeCell ref="AZ149:AZ156"/>
    <mergeCell ref="BA149:BA156"/>
    <mergeCell ref="AZ159:AZ167"/>
    <mergeCell ref="BA25:BA26"/>
    <mergeCell ref="AZ27:AZ28"/>
    <mergeCell ref="BA27:BA28"/>
    <mergeCell ref="AZ82:AZ83"/>
    <mergeCell ref="BA82:BA83"/>
    <mergeCell ref="AZ117:AZ118"/>
    <mergeCell ref="BA117:BA118"/>
    <mergeCell ref="AZ119:AZ120"/>
    <mergeCell ref="BA119:BA120"/>
    <mergeCell ref="AZ31:AZ36"/>
    <mergeCell ref="BA31:BA36"/>
    <mergeCell ref="AZ47:AZ52"/>
    <mergeCell ref="BA47:BA52"/>
    <mergeCell ref="AZ90:AZ95"/>
    <mergeCell ref="BA90:BA95"/>
    <mergeCell ref="AZ96:AZ101"/>
    <mergeCell ref="BA96:BA101"/>
    <mergeCell ref="AZ107:AZ109"/>
    <mergeCell ref="BA107:BA109"/>
    <mergeCell ref="AZ110:AZ112"/>
    <mergeCell ref="BA110:BA112"/>
    <mergeCell ref="AZ38:AZ42"/>
    <mergeCell ref="BA38:BA42"/>
    <mergeCell ref="AZ86:AZ87"/>
    <mergeCell ref="BA8:BA9"/>
    <mergeCell ref="AZ13:AZ14"/>
    <mergeCell ref="BA13:BA14"/>
    <mergeCell ref="AZ15:AZ16"/>
    <mergeCell ref="BA15:BA16"/>
    <mergeCell ref="AZ17:AZ18"/>
    <mergeCell ref="BA17:BA18"/>
    <mergeCell ref="AZ10:AZ12"/>
    <mergeCell ref="BA10:BA12"/>
    <mergeCell ref="AW211:AW214"/>
    <mergeCell ref="AX211:AX214"/>
    <mergeCell ref="AY211:AY214"/>
    <mergeCell ref="AW215:AW216"/>
    <mergeCell ref="AX215:AX216"/>
    <mergeCell ref="AY215:AY216"/>
    <mergeCell ref="AZ8:AZ9"/>
    <mergeCell ref="AT3:AT4"/>
    <mergeCell ref="AU3:AU4"/>
    <mergeCell ref="AU8:AU9"/>
    <mergeCell ref="AU10:AU12"/>
    <mergeCell ref="AU13:AU14"/>
    <mergeCell ref="AU15:AU16"/>
    <mergeCell ref="AU17:AU18"/>
    <mergeCell ref="AZ25:AZ26"/>
    <mergeCell ref="AZ127:AZ128"/>
    <mergeCell ref="AZ189:AZ190"/>
    <mergeCell ref="AU25:AU26"/>
    <mergeCell ref="AW201:AW205"/>
    <mergeCell ref="AX201:AX205"/>
    <mergeCell ref="AY201:AY205"/>
    <mergeCell ref="AW206:AW208"/>
    <mergeCell ref="AX206:AX208"/>
    <mergeCell ref="AY206:AY208"/>
    <mergeCell ref="AW209:AW210"/>
    <mergeCell ref="AX209:AX210"/>
    <mergeCell ref="AY209:AY210"/>
    <mergeCell ref="AW193:AW195"/>
    <mergeCell ref="AX193:AX195"/>
    <mergeCell ref="AY193:AY195"/>
    <mergeCell ref="AW196:AW197"/>
    <mergeCell ref="AX196:AX197"/>
    <mergeCell ref="AY196:AY197"/>
    <mergeCell ref="AW199:AW200"/>
    <mergeCell ref="AX199:AX200"/>
    <mergeCell ref="AY199:AY200"/>
    <mergeCell ref="AW184:AW185"/>
    <mergeCell ref="AX184:AX185"/>
    <mergeCell ref="AY184:AY185"/>
    <mergeCell ref="AW186:AW188"/>
    <mergeCell ref="AX186:AX188"/>
    <mergeCell ref="AY186:AY188"/>
    <mergeCell ref="AW189:AW190"/>
    <mergeCell ref="AX189:AX190"/>
    <mergeCell ref="AY189:AY190"/>
    <mergeCell ref="AW169:AW172"/>
    <mergeCell ref="AX169:AX172"/>
    <mergeCell ref="AY169:AY172"/>
    <mergeCell ref="AW173:AW174"/>
    <mergeCell ref="AX173:AX174"/>
    <mergeCell ref="AY173:AY174"/>
    <mergeCell ref="AW181:AW182"/>
    <mergeCell ref="AX181:AX182"/>
    <mergeCell ref="AY181:AY182"/>
    <mergeCell ref="AW149:AW156"/>
    <mergeCell ref="AX149:AX156"/>
    <mergeCell ref="AY149:AY156"/>
    <mergeCell ref="AW157:AW158"/>
    <mergeCell ref="AX157:AX158"/>
    <mergeCell ref="AY157:AY158"/>
    <mergeCell ref="AW159:AW167"/>
    <mergeCell ref="AX159:AX167"/>
    <mergeCell ref="AY159:AY167"/>
    <mergeCell ref="AW130:AW134"/>
    <mergeCell ref="AX130:AX134"/>
    <mergeCell ref="AY130:AY134"/>
    <mergeCell ref="AW136:AW138"/>
    <mergeCell ref="AX136:AX138"/>
    <mergeCell ref="AY136:AY138"/>
    <mergeCell ref="AW141:AW148"/>
    <mergeCell ref="AX141:AX148"/>
    <mergeCell ref="AY141:AY148"/>
    <mergeCell ref="AW117:AW118"/>
    <mergeCell ref="AX117:AX118"/>
    <mergeCell ref="AY117:AY118"/>
    <mergeCell ref="AW119:AW120"/>
    <mergeCell ref="AX119:AX120"/>
    <mergeCell ref="AY119:AY120"/>
    <mergeCell ref="AW127:AW128"/>
    <mergeCell ref="AX127:AX128"/>
    <mergeCell ref="AY127:AY128"/>
    <mergeCell ref="AW107:AW109"/>
    <mergeCell ref="AX107:AX109"/>
    <mergeCell ref="AY107:AY109"/>
    <mergeCell ref="AW110:AW112"/>
    <mergeCell ref="AX110:AX112"/>
    <mergeCell ref="AY110:AY112"/>
    <mergeCell ref="AW113:AW116"/>
    <mergeCell ref="AX113:AX116"/>
    <mergeCell ref="AY113:AY116"/>
    <mergeCell ref="AW90:AW95"/>
    <mergeCell ref="AX90:AX95"/>
    <mergeCell ref="AY90:AY95"/>
    <mergeCell ref="AW96:AW101"/>
    <mergeCell ref="AX96:AX101"/>
    <mergeCell ref="AY96:AY101"/>
    <mergeCell ref="AW102:AW106"/>
    <mergeCell ref="AX102:AX106"/>
    <mergeCell ref="AY102:AY106"/>
    <mergeCell ref="AW47:AW52"/>
    <mergeCell ref="AX47:AX52"/>
    <mergeCell ref="AY47:AY52"/>
    <mergeCell ref="AW82:AW83"/>
    <mergeCell ref="AX82:AX83"/>
    <mergeCell ref="AY82:AY83"/>
    <mergeCell ref="AW86:AW87"/>
    <mergeCell ref="AX86:AX87"/>
    <mergeCell ref="AY86:AY87"/>
    <mergeCell ref="AW27:AW28"/>
    <mergeCell ref="AX27:AX28"/>
    <mergeCell ref="AY27:AY28"/>
    <mergeCell ref="AW31:AW36"/>
    <mergeCell ref="AX31:AX36"/>
    <mergeCell ref="AY31:AY36"/>
    <mergeCell ref="AW38:AW42"/>
    <mergeCell ref="AX38:AX42"/>
    <mergeCell ref="AY38:AY42"/>
    <mergeCell ref="AW15:AW16"/>
    <mergeCell ref="AX15:AX16"/>
    <mergeCell ref="AY15:AY16"/>
    <mergeCell ref="AW17:AW18"/>
    <mergeCell ref="AX17:AX18"/>
    <mergeCell ref="AY17:AY18"/>
    <mergeCell ref="AW25:AW26"/>
    <mergeCell ref="AX25:AX26"/>
    <mergeCell ref="AY25:AY26"/>
    <mergeCell ref="AW8:AW9"/>
    <mergeCell ref="AX8:AX9"/>
    <mergeCell ref="AY8:AY9"/>
    <mergeCell ref="AW10:AW12"/>
    <mergeCell ref="AX10:AX12"/>
    <mergeCell ref="AY10:AY12"/>
    <mergeCell ref="AW13:AW14"/>
    <mergeCell ref="AX13:AX14"/>
    <mergeCell ref="AY13:AY14"/>
    <mergeCell ref="AV2:AW2"/>
    <mergeCell ref="AX2:AY2"/>
    <mergeCell ref="AV3:AV4"/>
    <mergeCell ref="AW3:AW4"/>
    <mergeCell ref="AX3:AX4"/>
    <mergeCell ref="AY3:AY4"/>
    <mergeCell ref="AT2:AU2"/>
    <mergeCell ref="A127:A128"/>
    <mergeCell ref="B127:B128"/>
    <mergeCell ref="C127:C128"/>
    <mergeCell ref="B124:D124"/>
    <mergeCell ref="B125:F125"/>
    <mergeCell ref="B10:B12"/>
    <mergeCell ref="C10:C12"/>
    <mergeCell ref="B13:B14"/>
    <mergeCell ref="C13:C14"/>
    <mergeCell ref="X3:X4"/>
    <mergeCell ref="Y3:Y4"/>
    <mergeCell ref="A8:A9"/>
    <mergeCell ref="A10:A12"/>
    <mergeCell ref="A13:A14"/>
    <mergeCell ref="A15:A16"/>
    <mergeCell ref="A17:A18"/>
    <mergeCell ref="A25:A26"/>
    <mergeCell ref="B186:B188"/>
    <mergeCell ref="C186:C188"/>
    <mergeCell ref="B189:B190"/>
    <mergeCell ref="C189:C190"/>
    <mergeCell ref="AJ2:AJ4"/>
    <mergeCell ref="B169:B172"/>
    <mergeCell ref="C169:C172"/>
    <mergeCell ref="B173:B174"/>
    <mergeCell ref="C173:C174"/>
    <mergeCell ref="B178:D178"/>
    <mergeCell ref="B179:F179"/>
    <mergeCell ref="B181:B182"/>
    <mergeCell ref="C181:C182"/>
    <mergeCell ref="B184:B185"/>
    <mergeCell ref="C184:C185"/>
    <mergeCell ref="B140:F140"/>
    <mergeCell ref="B141:B148"/>
    <mergeCell ref="C141:C148"/>
    <mergeCell ref="B149:B156"/>
    <mergeCell ref="C149:C156"/>
    <mergeCell ref="B157:B158"/>
    <mergeCell ref="C117:C118"/>
    <mergeCell ref="B119:B120"/>
    <mergeCell ref="C119:C120"/>
    <mergeCell ref="B136:B138"/>
    <mergeCell ref="C136:C138"/>
    <mergeCell ref="B130:B134"/>
    <mergeCell ref="C130:C134"/>
    <mergeCell ref="Z2:AI2"/>
    <mergeCell ref="Z3:Z4"/>
    <mergeCell ref="AA3:AA4"/>
    <mergeCell ref="AI3:AI4"/>
    <mergeCell ref="G3:M3"/>
    <mergeCell ref="B80:D80"/>
    <mergeCell ref="C90:C95"/>
    <mergeCell ref="B96:B101"/>
    <mergeCell ref="C96:C101"/>
    <mergeCell ref="B107:B109"/>
    <mergeCell ref="C107:C109"/>
    <mergeCell ref="B110:B112"/>
    <mergeCell ref="Q3:W3"/>
    <mergeCell ref="AB3:AH3"/>
    <mergeCell ref="B6:D6"/>
    <mergeCell ref="B17:B18"/>
    <mergeCell ref="C17:C18"/>
    <mergeCell ref="B7:F7"/>
    <mergeCell ref="B8:B9"/>
    <mergeCell ref="C8:C9"/>
    <mergeCell ref="B215:B216"/>
    <mergeCell ref="C215:C216"/>
    <mergeCell ref="B206:B208"/>
    <mergeCell ref="C206:C208"/>
    <mergeCell ref="B209:B210"/>
    <mergeCell ref="C209:C210"/>
    <mergeCell ref="B211:B214"/>
    <mergeCell ref="C211:C214"/>
    <mergeCell ref="B199:B200"/>
    <mergeCell ref="C199:C200"/>
    <mergeCell ref="B201:B205"/>
    <mergeCell ref="C201:C205"/>
    <mergeCell ref="B193:B195"/>
    <mergeCell ref="C193:C195"/>
    <mergeCell ref="B196:B197"/>
    <mergeCell ref="C196:C197"/>
    <mergeCell ref="E3:E4"/>
    <mergeCell ref="F3:F4"/>
    <mergeCell ref="N3:N4"/>
    <mergeCell ref="O3:O4"/>
    <mergeCell ref="P3:P4"/>
    <mergeCell ref="B15:B16"/>
    <mergeCell ref="C15:C16"/>
    <mergeCell ref="C2:C4"/>
    <mergeCell ref="D2:D4"/>
    <mergeCell ref="E2:N2"/>
    <mergeCell ref="O2:Y2"/>
    <mergeCell ref="C110:C112"/>
    <mergeCell ref="B102:B106"/>
    <mergeCell ref="C102:C106"/>
    <mergeCell ref="C157:C158"/>
    <mergeCell ref="B159:B167"/>
    <mergeCell ref="C159:C167"/>
    <mergeCell ref="B113:B116"/>
    <mergeCell ref="C113:C116"/>
    <mergeCell ref="B117:B118"/>
    <mergeCell ref="A27:A28"/>
    <mergeCell ref="A31:A36"/>
    <mergeCell ref="B23:F23"/>
    <mergeCell ref="B25:B26"/>
    <mergeCell ref="C25:C26"/>
    <mergeCell ref="B27:B28"/>
    <mergeCell ref="C27:C28"/>
    <mergeCell ref="B31:B36"/>
    <mergeCell ref="C31:C36"/>
    <mergeCell ref="A90:A95"/>
    <mergeCell ref="A96:A101"/>
    <mergeCell ref="A102:A106"/>
    <mergeCell ref="A107:A109"/>
    <mergeCell ref="A110:A112"/>
    <mergeCell ref="A113:A116"/>
    <mergeCell ref="A117:A118"/>
    <mergeCell ref="B38:B42"/>
    <mergeCell ref="C38:C42"/>
    <mergeCell ref="B61:B64"/>
    <mergeCell ref="C61:C64"/>
    <mergeCell ref="B46:F46"/>
    <mergeCell ref="B47:B52"/>
    <mergeCell ref="C47:C52"/>
    <mergeCell ref="A38:A42"/>
    <mergeCell ref="A47:A52"/>
    <mergeCell ref="A61:A64"/>
    <mergeCell ref="B81:F81"/>
    <mergeCell ref="B82:B83"/>
    <mergeCell ref="C82:C83"/>
    <mergeCell ref="B86:B87"/>
    <mergeCell ref="C86:C87"/>
    <mergeCell ref="B89:F89"/>
    <mergeCell ref="B90:B95"/>
    <mergeCell ref="A209:A210"/>
    <mergeCell ref="A211:A214"/>
    <mergeCell ref="A215:A216"/>
    <mergeCell ref="A2:B4"/>
    <mergeCell ref="A181:A182"/>
    <mergeCell ref="A184:A185"/>
    <mergeCell ref="A186:A188"/>
    <mergeCell ref="A189:A190"/>
    <mergeCell ref="A193:A195"/>
    <mergeCell ref="A196:A197"/>
    <mergeCell ref="A199:A200"/>
    <mergeCell ref="A201:A205"/>
    <mergeCell ref="A206:A208"/>
    <mergeCell ref="A119:A120"/>
    <mergeCell ref="A130:A134"/>
    <mergeCell ref="A136:A138"/>
    <mergeCell ref="A141:A148"/>
    <mergeCell ref="A149:A156"/>
    <mergeCell ref="A157:A158"/>
    <mergeCell ref="A159:A167"/>
    <mergeCell ref="A169:A172"/>
    <mergeCell ref="A173:A174"/>
    <mergeCell ref="A82:A83"/>
    <mergeCell ref="A86:A87"/>
    <mergeCell ref="AM2:AN2"/>
    <mergeCell ref="AM3:AM4"/>
    <mergeCell ref="AN3:AN4"/>
    <mergeCell ref="AK2:AL2"/>
    <mergeCell ref="AK3:AK4"/>
    <mergeCell ref="AL3:AL4"/>
    <mergeCell ref="AL8:AL9"/>
    <mergeCell ref="AL10:AL12"/>
    <mergeCell ref="AM8:AM9"/>
    <mergeCell ref="AM10:AM12"/>
    <mergeCell ref="AL209:AL210"/>
    <mergeCell ref="AL215:AL216"/>
    <mergeCell ref="AL206:AL208"/>
    <mergeCell ref="AL211:AL214"/>
    <mergeCell ref="AL13:AL14"/>
    <mergeCell ref="AL15:AL16"/>
    <mergeCell ref="AL17:AL18"/>
    <mergeCell ref="AL25:AL26"/>
    <mergeCell ref="AL27:AL28"/>
    <mergeCell ref="AL82:AL83"/>
    <mergeCell ref="AL86:AL87"/>
    <mergeCell ref="AL119:AL120"/>
    <mergeCell ref="AL127:AL128"/>
    <mergeCell ref="AL31:AL36"/>
    <mergeCell ref="AL38:AL42"/>
    <mergeCell ref="AL47:AL52"/>
    <mergeCell ref="AL90:AL95"/>
    <mergeCell ref="AL96:AL101"/>
    <mergeCell ref="AL102:AL106"/>
    <mergeCell ref="AL107:AL109"/>
    <mergeCell ref="AL110:AL112"/>
    <mergeCell ref="AL117:AL118"/>
    <mergeCell ref="AL113:AL116"/>
    <mergeCell ref="AL130:AL134"/>
    <mergeCell ref="AL136:AL138"/>
    <mergeCell ref="AL141:AL148"/>
    <mergeCell ref="AL149:AL156"/>
    <mergeCell ref="AL159:AL167"/>
    <mergeCell ref="AL169:AL172"/>
    <mergeCell ref="AL186:AL188"/>
    <mergeCell ref="AL193:AL195"/>
    <mergeCell ref="AL201:AL205"/>
    <mergeCell ref="AL157:AL158"/>
    <mergeCell ref="AL173:AL174"/>
    <mergeCell ref="AL181:AL182"/>
    <mergeCell ref="AL184:AL185"/>
    <mergeCell ref="AL189:AL190"/>
    <mergeCell ref="AL196:AL197"/>
    <mergeCell ref="AL199:AL200"/>
    <mergeCell ref="AM13:AM14"/>
    <mergeCell ref="AM15:AM16"/>
    <mergeCell ref="AM17:AM18"/>
    <mergeCell ref="AM25:AM26"/>
    <mergeCell ref="AM27:AM28"/>
    <mergeCell ref="AM31:AM36"/>
    <mergeCell ref="AM38:AM42"/>
    <mergeCell ref="AM47:AM52"/>
    <mergeCell ref="AM82:AM83"/>
    <mergeCell ref="AM86:AM87"/>
    <mergeCell ref="AM90:AM95"/>
    <mergeCell ref="AM96:AM101"/>
    <mergeCell ref="AM102:AM106"/>
    <mergeCell ref="AM107:AM109"/>
    <mergeCell ref="AM110:AM112"/>
    <mergeCell ref="AM113:AM116"/>
    <mergeCell ref="AM117:AM118"/>
    <mergeCell ref="AM119:AM120"/>
    <mergeCell ref="AM127:AM128"/>
    <mergeCell ref="AM130:AM134"/>
    <mergeCell ref="AM136:AM138"/>
    <mergeCell ref="AM141:AM148"/>
    <mergeCell ref="AM149:AM156"/>
    <mergeCell ref="AM157:AM158"/>
    <mergeCell ref="AM159:AM167"/>
    <mergeCell ref="AM169:AM172"/>
    <mergeCell ref="AM173:AM174"/>
    <mergeCell ref="AM181:AM182"/>
    <mergeCell ref="AM184:AM185"/>
    <mergeCell ref="AM186:AM188"/>
    <mergeCell ref="AM189:AM190"/>
    <mergeCell ref="AM193:AM195"/>
    <mergeCell ref="AM196:AM197"/>
    <mergeCell ref="AM199:AM200"/>
    <mergeCell ref="AM201:AM205"/>
    <mergeCell ref="AM206:AM208"/>
    <mergeCell ref="AM209:AM210"/>
    <mergeCell ref="AM211:AM214"/>
    <mergeCell ref="AM215:AM216"/>
    <mergeCell ref="AN8:AN9"/>
    <mergeCell ref="AN10:AN12"/>
    <mergeCell ref="AN13:AN14"/>
    <mergeCell ref="AN15:AN16"/>
    <mergeCell ref="AN17:AN18"/>
    <mergeCell ref="AN25:AN26"/>
    <mergeCell ref="AN27:AN28"/>
    <mergeCell ref="AN31:AN36"/>
    <mergeCell ref="AN38:AN42"/>
    <mergeCell ref="AN47:AN52"/>
    <mergeCell ref="AN82:AN83"/>
    <mergeCell ref="AN86:AN87"/>
    <mergeCell ref="AN90:AN95"/>
    <mergeCell ref="AN96:AN101"/>
    <mergeCell ref="AN102:AN106"/>
    <mergeCell ref="AN107:AN109"/>
    <mergeCell ref="AN110:AN112"/>
    <mergeCell ref="AN113:AN116"/>
    <mergeCell ref="AN117:AN118"/>
    <mergeCell ref="AN119:AN120"/>
    <mergeCell ref="AN127:AN128"/>
    <mergeCell ref="AN130:AN134"/>
    <mergeCell ref="AN136:AN138"/>
    <mergeCell ref="AN141:AN148"/>
    <mergeCell ref="AN149:AN156"/>
    <mergeCell ref="AN157:AN158"/>
    <mergeCell ref="AN159:AN167"/>
    <mergeCell ref="AN169:AN172"/>
    <mergeCell ref="AN173:AN174"/>
    <mergeCell ref="AN181:AN182"/>
    <mergeCell ref="AN211:AN214"/>
    <mergeCell ref="AN215:AN216"/>
    <mergeCell ref="AN184:AN185"/>
    <mergeCell ref="AN186:AN188"/>
    <mergeCell ref="AN189:AN190"/>
    <mergeCell ref="AN193:AN195"/>
    <mergeCell ref="AN196:AN197"/>
    <mergeCell ref="AN199:AN200"/>
    <mergeCell ref="AN201:AN205"/>
    <mergeCell ref="AN206:AN208"/>
    <mergeCell ref="AN209:AN210"/>
  </mergeCells>
  <pageMargins left="0.15748031496062992" right="0" top="0.19685039370078741" bottom="0.19685039370078741" header="0.51181102362204722" footer="0.51181102362204722"/>
  <pageSetup paperSize="9" scale="50" fitToHeight="0" orientation="landscape" r:id="rId1"/>
  <headerFooter alignWithMargins="0"/>
  <rowBreaks count="2" manualBreakCount="2">
    <brk id="22" max="60" man="1"/>
    <brk id="45" max="60" man="1"/>
  </rowBreaks>
  <colBreaks count="1" manualBreakCount="1">
    <brk id="14" max="221" man="1"/>
  </col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AJ181"/>
  <sheetViews>
    <sheetView view="pageBreakPreview" zoomScale="70" zoomScaleNormal="70" zoomScaleSheetLayoutView="70" workbookViewId="0">
      <pane xSplit="3" ySplit="5" topLeftCell="D144" activePane="bottomRight" state="frozen"/>
      <selection pane="topRight" activeCell="E1" sqref="E1"/>
      <selection pane="bottomLeft" activeCell="A6" sqref="A6"/>
      <selection pane="bottomRight" activeCell="P90" sqref="P90:P92"/>
    </sheetView>
  </sheetViews>
  <sheetFormatPr defaultColWidth="8.85546875" defaultRowHeight="15.75" x14ac:dyDescent="0.25"/>
  <cols>
    <col min="1" max="1" width="5.7109375" style="166" customWidth="1"/>
    <col min="2" max="2" width="42.7109375" style="162" customWidth="1"/>
    <col min="3" max="3" width="26.28515625" style="162" customWidth="1"/>
    <col min="4" max="4" width="7.42578125" style="451" customWidth="1"/>
    <col min="5" max="5" width="5.140625" style="164" customWidth="1"/>
    <col min="6" max="6" width="9" style="164" customWidth="1"/>
    <col min="7" max="7" width="9" style="165" customWidth="1"/>
    <col min="8" max="8" width="7.28515625" style="376" customWidth="1"/>
    <col min="9" max="9" width="14.7109375" style="631" customWidth="1"/>
    <col min="10" max="10" width="6.85546875" style="175" customWidth="1"/>
    <col min="11" max="11" width="5.42578125" style="166" customWidth="1"/>
    <col min="12" max="13" width="9" style="166" customWidth="1"/>
    <col min="14" max="15" width="6.28515625" style="175" customWidth="1"/>
    <col min="16" max="16" width="15" style="252" customWidth="1"/>
    <col min="17" max="17" width="8.28515625" style="175" customWidth="1"/>
    <col min="18" max="18" width="7.28515625" style="175" customWidth="1"/>
    <col min="19" max="20" width="9.28515625" style="175" customWidth="1"/>
    <col min="21" max="22" width="6.140625" style="175" customWidth="1"/>
    <col min="23" max="23" width="13" style="237" customWidth="1"/>
    <col min="24" max="24" width="18.85546875" style="188" customWidth="1"/>
    <col min="25" max="25" width="16.28515625" style="175" customWidth="1"/>
    <col min="26" max="26" width="13.42578125" style="175" customWidth="1"/>
    <col min="27" max="27" width="16" style="175" customWidth="1"/>
    <col min="28" max="28" width="14.5703125" style="175" customWidth="1"/>
    <col min="29" max="31" width="14.7109375" style="512" customWidth="1"/>
    <col min="32" max="32" width="11.85546875" style="175" customWidth="1"/>
    <col min="33" max="34" width="15.140625" style="175" customWidth="1"/>
    <col min="35" max="35" width="16.7109375" style="503" customWidth="1"/>
    <col min="36" max="36" width="8.85546875" style="503"/>
    <col min="37" max="16384" width="8.85546875" style="175"/>
  </cols>
  <sheetData>
    <row r="1" spans="1:36" s="169" customFormat="1" ht="21.75" customHeight="1" thickBot="1" x14ac:dyDescent="0.3">
      <c r="A1" s="161" t="s">
        <v>314</v>
      </c>
      <c r="B1" s="161"/>
      <c r="C1" s="162"/>
      <c r="D1" s="451"/>
      <c r="E1" s="164"/>
      <c r="F1" s="164"/>
      <c r="G1" s="165"/>
      <c r="H1" s="376"/>
      <c r="I1" s="631"/>
      <c r="J1" s="175"/>
      <c r="K1" s="166"/>
      <c r="L1" s="166"/>
      <c r="M1" s="166"/>
      <c r="N1" s="175"/>
      <c r="O1" s="175"/>
      <c r="P1" s="252"/>
      <c r="U1" s="175"/>
      <c r="V1" s="175"/>
      <c r="W1" s="594"/>
      <c r="X1" s="599"/>
      <c r="Y1" s="439"/>
      <c r="AC1" s="506"/>
      <c r="AD1" s="506"/>
      <c r="AE1" s="506"/>
      <c r="AI1" s="507"/>
      <c r="AJ1" s="507"/>
    </row>
    <row r="2" spans="1:36" s="204" customFormat="1" ht="64.150000000000006" customHeight="1" x14ac:dyDescent="0.2">
      <c r="A2" s="1156" t="s">
        <v>168</v>
      </c>
      <c r="B2" s="1159" t="s">
        <v>167</v>
      </c>
      <c r="C2" s="1162" t="s">
        <v>165</v>
      </c>
      <c r="D2" s="1165" t="s">
        <v>164</v>
      </c>
      <c r="E2" s="1166"/>
      <c r="F2" s="1166"/>
      <c r="G2" s="1166"/>
      <c r="H2" s="1166"/>
      <c r="I2" s="1166"/>
      <c r="J2" s="1165" t="s">
        <v>163</v>
      </c>
      <c r="K2" s="1166"/>
      <c r="L2" s="1166"/>
      <c r="M2" s="1166"/>
      <c r="N2" s="1166"/>
      <c r="O2" s="1166"/>
      <c r="P2" s="1166"/>
      <c r="Q2" s="1165" t="s">
        <v>276</v>
      </c>
      <c r="R2" s="1166"/>
      <c r="S2" s="1166"/>
      <c r="T2" s="1166"/>
      <c r="U2" s="1166"/>
      <c r="V2" s="1166"/>
      <c r="W2" s="1166"/>
      <c r="X2" s="1153" t="s">
        <v>316</v>
      </c>
      <c r="AC2" s="508"/>
      <c r="AD2" s="508"/>
      <c r="AE2" s="508"/>
      <c r="AI2" s="509"/>
      <c r="AJ2" s="509"/>
    </row>
    <row r="3" spans="1:36" s="205" customFormat="1" ht="66.599999999999994" customHeight="1" x14ac:dyDescent="0.2">
      <c r="A3" s="1157"/>
      <c r="B3" s="1160"/>
      <c r="C3" s="1163"/>
      <c r="D3" s="1147" t="s">
        <v>156</v>
      </c>
      <c r="E3" s="1149" t="s">
        <v>206</v>
      </c>
      <c r="F3" s="1151" t="s">
        <v>285</v>
      </c>
      <c r="G3" s="1151"/>
      <c r="H3" s="1149" t="s">
        <v>308</v>
      </c>
      <c r="I3" s="638" t="s">
        <v>315</v>
      </c>
      <c r="J3" s="1152" t="s">
        <v>156</v>
      </c>
      <c r="K3" s="1167" t="s">
        <v>206</v>
      </c>
      <c r="L3" s="1151" t="s">
        <v>285</v>
      </c>
      <c r="M3" s="1151"/>
      <c r="N3" s="1167" t="s">
        <v>307</v>
      </c>
      <c r="O3" s="1167" t="s">
        <v>157</v>
      </c>
      <c r="P3" s="638" t="s">
        <v>315</v>
      </c>
      <c r="Q3" s="1152" t="s">
        <v>156</v>
      </c>
      <c r="R3" s="1167" t="s">
        <v>206</v>
      </c>
      <c r="S3" s="1151" t="s">
        <v>285</v>
      </c>
      <c r="T3" s="1151"/>
      <c r="U3" s="1167" t="s">
        <v>308</v>
      </c>
      <c r="V3" s="1167" t="s">
        <v>157</v>
      </c>
      <c r="W3" s="638" t="s">
        <v>315</v>
      </c>
      <c r="X3" s="1154"/>
      <c r="AC3" s="510"/>
      <c r="AD3" s="510"/>
      <c r="AE3" s="510"/>
      <c r="AI3" s="511"/>
      <c r="AJ3" s="511"/>
    </row>
    <row r="4" spans="1:36" s="205" customFormat="1" ht="70.150000000000006" customHeight="1" thickBot="1" x14ac:dyDescent="0.25">
      <c r="A4" s="1158"/>
      <c r="B4" s="1161"/>
      <c r="C4" s="1164"/>
      <c r="D4" s="1148"/>
      <c r="E4" s="1150"/>
      <c r="F4" s="610" t="s">
        <v>286</v>
      </c>
      <c r="G4" s="549" t="s">
        <v>266</v>
      </c>
      <c r="H4" s="1150"/>
      <c r="I4" s="530" t="s">
        <v>266</v>
      </c>
      <c r="J4" s="1148"/>
      <c r="K4" s="1150"/>
      <c r="L4" s="610" t="s">
        <v>286</v>
      </c>
      <c r="M4" s="549" t="s">
        <v>266</v>
      </c>
      <c r="N4" s="1150"/>
      <c r="O4" s="1150"/>
      <c r="P4" s="530" t="s">
        <v>266</v>
      </c>
      <c r="Q4" s="1148"/>
      <c r="R4" s="1150"/>
      <c r="S4" s="610" t="s">
        <v>286</v>
      </c>
      <c r="T4" s="549" t="s">
        <v>266</v>
      </c>
      <c r="U4" s="1150"/>
      <c r="V4" s="1150"/>
      <c r="W4" s="530" t="s">
        <v>266</v>
      </c>
      <c r="X4" s="1155"/>
      <c r="AC4" s="510"/>
      <c r="AD4" s="510"/>
      <c r="AE4" s="510"/>
      <c r="AI4" s="511"/>
      <c r="AJ4" s="511"/>
    </row>
    <row r="5" spans="1:36" ht="16.5" thickBot="1" x14ac:dyDescent="0.3">
      <c r="A5" s="1142" t="s">
        <v>146</v>
      </c>
      <c r="B5" s="1143"/>
      <c r="C5" s="1143"/>
      <c r="D5" s="1144"/>
      <c r="E5" s="1144"/>
      <c r="H5" s="561"/>
      <c r="I5" s="602"/>
      <c r="J5" s="440"/>
      <c r="K5" s="173"/>
      <c r="L5" s="173"/>
      <c r="M5" s="173"/>
      <c r="N5" s="386"/>
      <c r="O5" s="498">
        <v>21</v>
      </c>
      <c r="P5" s="619"/>
      <c r="Q5" s="253"/>
      <c r="R5" s="254"/>
      <c r="S5" s="254"/>
      <c r="T5" s="254"/>
      <c r="U5" s="254"/>
      <c r="V5" s="498">
        <v>21</v>
      </c>
      <c r="W5" s="636"/>
      <c r="X5" s="600"/>
    </row>
    <row r="6" spans="1:36" s="184" customFormat="1" ht="18.75" customHeight="1" x14ac:dyDescent="0.2">
      <c r="A6" s="1145">
        <v>1</v>
      </c>
      <c r="B6" s="1146" t="s">
        <v>145</v>
      </c>
      <c r="C6" s="560" t="s">
        <v>144</v>
      </c>
      <c r="D6" s="564" t="s">
        <v>185</v>
      </c>
      <c r="E6" s="305">
        <v>1</v>
      </c>
      <c r="F6" s="605">
        <v>71700</v>
      </c>
      <c r="G6" s="177">
        <v>74570</v>
      </c>
      <c r="H6" s="378">
        <v>1.04</v>
      </c>
      <c r="I6" s="632">
        <f>G6*E6*12</f>
        <v>894840</v>
      </c>
      <c r="J6" s="563"/>
      <c r="K6" s="305"/>
      <c r="L6" s="305"/>
      <c r="M6" s="305"/>
      <c r="N6" s="378"/>
      <c r="O6" s="378"/>
      <c r="P6" s="614"/>
      <c r="Q6" s="309"/>
      <c r="R6" s="305"/>
      <c r="S6" s="305"/>
      <c r="T6" s="305"/>
      <c r="U6" s="378"/>
      <c r="V6" s="378"/>
      <c r="W6" s="595"/>
      <c r="X6" s="593">
        <f>I6+P6+W6</f>
        <v>894840</v>
      </c>
      <c r="AB6" s="513"/>
      <c r="AC6" s="513"/>
      <c r="AD6" s="513"/>
      <c r="AE6" s="513"/>
      <c r="AI6" s="514"/>
      <c r="AJ6" s="514"/>
    </row>
    <row r="7" spans="1:36" s="184" customFormat="1" ht="18.75" customHeight="1" x14ac:dyDescent="0.2">
      <c r="A7" s="1135"/>
      <c r="B7" s="1046"/>
      <c r="C7" s="559" t="s">
        <v>143</v>
      </c>
      <c r="D7" s="304" t="s">
        <v>185</v>
      </c>
      <c r="E7" s="311">
        <v>1</v>
      </c>
      <c r="F7" s="198">
        <f>F6</f>
        <v>71700</v>
      </c>
      <c r="G7" s="185">
        <f>G6</f>
        <v>74570</v>
      </c>
      <c r="H7" s="315">
        <f>H6</f>
        <v>1.04</v>
      </c>
      <c r="I7" s="198">
        <f t="shared" ref="I7:I45" si="0">G7*E7*12</f>
        <v>894840</v>
      </c>
      <c r="J7" s="528"/>
      <c r="K7" s="311"/>
      <c r="L7" s="311"/>
      <c r="M7" s="311"/>
      <c r="N7" s="315"/>
      <c r="O7" s="315"/>
      <c r="P7" s="199"/>
      <c r="Q7" s="303"/>
      <c r="R7" s="311"/>
      <c r="S7" s="311"/>
      <c r="T7" s="311"/>
      <c r="U7" s="315"/>
      <c r="V7" s="315"/>
      <c r="W7" s="199"/>
      <c r="X7" s="593">
        <f t="shared" ref="X7:X70" si="1">I7+P7+W7</f>
        <v>894840</v>
      </c>
      <c r="AB7" s="513"/>
      <c r="AC7" s="513"/>
      <c r="AD7" s="513"/>
      <c r="AE7" s="513"/>
      <c r="AI7" s="514"/>
      <c r="AJ7" s="514"/>
    </row>
    <row r="8" spans="1:36" s="184" customFormat="1" ht="18.75" customHeight="1" x14ac:dyDescent="0.2">
      <c r="A8" s="1135">
        <v>2</v>
      </c>
      <c r="B8" s="1046" t="s">
        <v>142</v>
      </c>
      <c r="C8" s="559" t="s">
        <v>141</v>
      </c>
      <c r="D8" s="304" t="s">
        <v>185</v>
      </c>
      <c r="E8" s="311">
        <v>1</v>
      </c>
      <c r="F8" s="198">
        <f t="shared" ref="F8:F9" si="2">F7</f>
        <v>71700</v>
      </c>
      <c r="G8" s="185">
        <f>G7</f>
        <v>74570</v>
      </c>
      <c r="H8" s="315">
        <f t="shared" ref="H8:H44" si="3">H7</f>
        <v>1.04</v>
      </c>
      <c r="I8" s="198">
        <f t="shared" si="0"/>
        <v>894840</v>
      </c>
      <c r="J8" s="528"/>
      <c r="K8" s="311"/>
      <c r="L8" s="311"/>
      <c r="M8" s="311"/>
      <c r="N8" s="315"/>
      <c r="O8" s="315"/>
      <c r="P8" s="199"/>
      <c r="Q8" s="303"/>
      <c r="R8" s="311"/>
      <c r="S8" s="311"/>
      <c r="T8" s="311"/>
      <c r="U8" s="315"/>
      <c r="V8" s="315"/>
      <c r="W8" s="199"/>
      <c r="X8" s="593">
        <f t="shared" si="1"/>
        <v>894840</v>
      </c>
      <c r="AB8" s="513"/>
      <c r="AC8" s="513"/>
      <c r="AD8" s="513"/>
      <c r="AE8" s="513"/>
      <c r="AI8" s="514"/>
      <c r="AJ8" s="514"/>
    </row>
    <row r="9" spans="1:36" s="184" customFormat="1" ht="18.75" customHeight="1" x14ac:dyDescent="0.2">
      <c r="A9" s="1135"/>
      <c r="B9" s="1046"/>
      <c r="C9" s="559" t="s">
        <v>140</v>
      </c>
      <c r="D9" s="304" t="s">
        <v>185</v>
      </c>
      <c r="E9" s="311">
        <v>1</v>
      </c>
      <c r="F9" s="198">
        <f t="shared" si="2"/>
        <v>71700</v>
      </c>
      <c r="G9" s="185">
        <f>G8</f>
        <v>74570</v>
      </c>
      <c r="H9" s="315">
        <f t="shared" si="3"/>
        <v>1.04</v>
      </c>
      <c r="I9" s="198">
        <f t="shared" si="0"/>
        <v>894840</v>
      </c>
      <c r="J9" s="528"/>
      <c r="K9" s="311"/>
      <c r="L9" s="311"/>
      <c r="M9" s="311"/>
      <c r="N9" s="315"/>
      <c r="O9" s="315"/>
      <c r="P9" s="199"/>
      <c r="Q9" s="303"/>
      <c r="R9" s="311"/>
      <c r="S9" s="311"/>
      <c r="T9" s="311"/>
      <c r="U9" s="315"/>
      <c r="V9" s="315"/>
      <c r="W9" s="199"/>
      <c r="X9" s="593">
        <f t="shared" si="1"/>
        <v>894840</v>
      </c>
      <c r="AB9" s="513"/>
      <c r="AC9" s="513"/>
      <c r="AD9" s="513"/>
      <c r="AE9" s="513"/>
      <c r="AI9" s="514"/>
      <c r="AJ9" s="514"/>
    </row>
    <row r="10" spans="1:36" s="184" customFormat="1" ht="18.75" customHeight="1" x14ac:dyDescent="0.2">
      <c r="A10" s="1135"/>
      <c r="B10" s="1046"/>
      <c r="C10" s="559" t="s">
        <v>138</v>
      </c>
      <c r="D10" s="531" t="s">
        <v>186</v>
      </c>
      <c r="E10" s="311">
        <v>1</v>
      </c>
      <c r="F10" s="198">
        <v>66200</v>
      </c>
      <c r="G10" s="185">
        <v>68850</v>
      </c>
      <c r="H10" s="315">
        <f t="shared" si="3"/>
        <v>1.04</v>
      </c>
      <c r="I10" s="198">
        <f t="shared" si="0"/>
        <v>826200</v>
      </c>
      <c r="J10" s="528"/>
      <c r="K10" s="311"/>
      <c r="L10" s="311"/>
      <c r="M10" s="311"/>
      <c r="N10" s="315"/>
      <c r="O10" s="315"/>
      <c r="P10" s="199"/>
      <c r="Q10" s="303"/>
      <c r="R10" s="311"/>
      <c r="S10" s="311"/>
      <c r="T10" s="311"/>
      <c r="U10" s="315"/>
      <c r="V10" s="315"/>
      <c r="W10" s="199"/>
      <c r="X10" s="593">
        <f t="shared" si="1"/>
        <v>826200</v>
      </c>
      <c r="AB10" s="513"/>
      <c r="AC10" s="513"/>
      <c r="AD10" s="513"/>
      <c r="AE10" s="513"/>
      <c r="AI10" s="514"/>
      <c r="AJ10" s="514"/>
    </row>
    <row r="11" spans="1:36" s="184" customFormat="1" ht="18.75" customHeight="1" x14ac:dyDescent="0.2">
      <c r="A11" s="1135">
        <v>3</v>
      </c>
      <c r="B11" s="1046" t="s">
        <v>137</v>
      </c>
      <c r="C11" s="559" t="s">
        <v>136</v>
      </c>
      <c r="D11" s="304" t="s">
        <v>185</v>
      </c>
      <c r="E11" s="311">
        <v>1</v>
      </c>
      <c r="F11" s="198">
        <f>F9</f>
        <v>71700</v>
      </c>
      <c r="G11" s="185">
        <f>G9</f>
        <v>74570</v>
      </c>
      <c r="H11" s="315">
        <f t="shared" si="3"/>
        <v>1.04</v>
      </c>
      <c r="I11" s="198">
        <f t="shared" si="0"/>
        <v>894840</v>
      </c>
      <c r="J11" s="528"/>
      <c r="K11" s="311"/>
      <c r="L11" s="311"/>
      <c r="M11" s="311"/>
      <c r="N11" s="315"/>
      <c r="O11" s="315"/>
      <c r="P11" s="199"/>
      <c r="Q11" s="303"/>
      <c r="R11" s="311"/>
      <c r="S11" s="311"/>
      <c r="T11" s="311"/>
      <c r="U11" s="315"/>
      <c r="V11" s="315"/>
      <c r="W11" s="199"/>
      <c r="X11" s="593">
        <f t="shared" si="1"/>
        <v>894840</v>
      </c>
      <c r="AB11" s="513"/>
      <c r="AC11" s="513"/>
      <c r="AD11" s="513"/>
      <c r="AE11" s="513"/>
      <c r="AI11" s="514"/>
      <c r="AJ11" s="514"/>
    </row>
    <row r="12" spans="1:36" s="184" customFormat="1" ht="18.75" customHeight="1" x14ac:dyDescent="0.2">
      <c r="A12" s="1135"/>
      <c r="B12" s="1046"/>
      <c r="C12" s="559" t="s">
        <v>135</v>
      </c>
      <c r="D12" s="304" t="s">
        <v>185</v>
      </c>
      <c r="E12" s="311">
        <v>1</v>
      </c>
      <c r="F12" s="198">
        <f>F11</f>
        <v>71700</v>
      </c>
      <c r="G12" s="185">
        <f>G11</f>
        <v>74570</v>
      </c>
      <c r="H12" s="315">
        <f t="shared" si="3"/>
        <v>1.04</v>
      </c>
      <c r="I12" s="198">
        <f t="shared" si="0"/>
        <v>894840</v>
      </c>
      <c r="J12" s="528"/>
      <c r="K12" s="311"/>
      <c r="L12" s="311"/>
      <c r="M12" s="311"/>
      <c r="N12" s="315"/>
      <c r="O12" s="315"/>
      <c r="P12" s="199"/>
      <c r="Q12" s="303"/>
      <c r="R12" s="311"/>
      <c r="S12" s="311"/>
      <c r="T12" s="311"/>
      <c r="U12" s="315"/>
      <c r="V12" s="315"/>
      <c r="W12" s="199"/>
      <c r="X12" s="593">
        <f t="shared" si="1"/>
        <v>894840</v>
      </c>
      <c r="AB12" s="513"/>
      <c r="AC12" s="513"/>
      <c r="AD12" s="513"/>
      <c r="AE12" s="513"/>
      <c r="AI12" s="514"/>
      <c r="AJ12" s="514"/>
    </row>
    <row r="13" spans="1:36" s="184" customFormat="1" ht="18.75" customHeight="1" x14ac:dyDescent="0.2">
      <c r="A13" s="1135">
        <v>4</v>
      </c>
      <c r="B13" s="1046" t="s">
        <v>134</v>
      </c>
      <c r="C13" s="559" t="s">
        <v>133</v>
      </c>
      <c r="D13" s="304" t="s">
        <v>185</v>
      </c>
      <c r="E13" s="311">
        <v>1</v>
      </c>
      <c r="F13" s="198">
        <f t="shared" ref="F13:F16" si="4">F12</f>
        <v>71700</v>
      </c>
      <c r="G13" s="185">
        <f>G12</f>
        <v>74570</v>
      </c>
      <c r="H13" s="315">
        <f t="shared" si="3"/>
        <v>1.04</v>
      </c>
      <c r="I13" s="198">
        <f t="shared" si="0"/>
        <v>894840</v>
      </c>
      <c r="J13" s="528"/>
      <c r="K13" s="311"/>
      <c r="L13" s="311"/>
      <c r="M13" s="311"/>
      <c r="N13" s="315"/>
      <c r="O13" s="315"/>
      <c r="P13" s="199"/>
      <c r="Q13" s="303"/>
      <c r="R13" s="311"/>
      <c r="S13" s="311"/>
      <c r="T13" s="311"/>
      <c r="U13" s="315"/>
      <c r="V13" s="315"/>
      <c r="W13" s="199"/>
      <c r="X13" s="593">
        <f t="shared" si="1"/>
        <v>894840</v>
      </c>
      <c r="AB13" s="513"/>
      <c r="AC13" s="513"/>
      <c r="AD13" s="513"/>
      <c r="AE13" s="513"/>
      <c r="AI13" s="514"/>
      <c r="AJ13" s="514"/>
    </row>
    <row r="14" spans="1:36" s="184" customFormat="1" ht="18.75" customHeight="1" x14ac:dyDescent="0.2">
      <c r="A14" s="1135"/>
      <c r="B14" s="1046"/>
      <c r="C14" s="559" t="s">
        <v>132</v>
      </c>
      <c r="D14" s="304" t="s">
        <v>185</v>
      </c>
      <c r="E14" s="311">
        <v>1</v>
      </c>
      <c r="F14" s="198">
        <f t="shared" si="4"/>
        <v>71700</v>
      </c>
      <c r="G14" s="185">
        <f>G13</f>
        <v>74570</v>
      </c>
      <c r="H14" s="315">
        <f t="shared" si="3"/>
        <v>1.04</v>
      </c>
      <c r="I14" s="198">
        <f t="shared" si="0"/>
        <v>894840</v>
      </c>
      <c r="J14" s="528"/>
      <c r="K14" s="311"/>
      <c r="L14" s="311"/>
      <c r="M14" s="311"/>
      <c r="N14" s="315"/>
      <c r="O14" s="315"/>
      <c r="P14" s="199"/>
      <c r="Q14" s="303"/>
      <c r="R14" s="311"/>
      <c r="S14" s="311"/>
      <c r="T14" s="311"/>
      <c r="U14" s="315"/>
      <c r="V14" s="315"/>
      <c r="W14" s="199"/>
      <c r="X14" s="593">
        <f t="shared" si="1"/>
        <v>894840</v>
      </c>
      <c r="AB14" s="513"/>
      <c r="AC14" s="513"/>
      <c r="AD14" s="513"/>
      <c r="AE14" s="513"/>
      <c r="AI14" s="514"/>
      <c r="AJ14" s="514"/>
    </row>
    <row r="15" spans="1:36" s="184" customFormat="1" ht="18.75" customHeight="1" x14ac:dyDescent="0.2">
      <c r="A15" s="1135">
        <v>5</v>
      </c>
      <c r="B15" s="1046" t="s">
        <v>131</v>
      </c>
      <c r="C15" s="559" t="s">
        <v>130</v>
      </c>
      <c r="D15" s="304" t="s">
        <v>185</v>
      </c>
      <c r="E15" s="311">
        <v>1</v>
      </c>
      <c r="F15" s="198">
        <f t="shared" si="4"/>
        <v>71700</v>
      </c>
      <c r="G15" s="185">
        <f>G14</f>
        <v>74570</v>
      </c>
      <c r="H15" s="315">
        <f t="shared" si="3"/>
        <v>1.04</v>
      </c>
      <c r="I15" s="198">
        <f t="shared" si="0"/>
        <v>894840</v>
      </c>
      <c r="J15" s="528"/>
      <c r="K15" s="311"/>
      <c r="L15" s="311"/>
      <c r="M15" s="311"/>
      <c r="N15" s="315"/>
      <c r="O15" s="315"/>
      <c r="P15" s="199"/>
      <c r="Q15" s="303"/>
      <c r="R15" s="311"/>
      <c r="S15" s="311"/>
      <c r="T15" s="311"/>
      <c r="U15" s="315"/>
      <c r="V15" s="315"/>
      <c r="W15" s="199"/>
      <c r="X15" s="593">
        <f t="shared" si="1"/>
        <v>894840</v>
      </c>
      <c r="AB15" s="513"/>
      <c r="AC15" s="513"/>
      <c r="AD15" s="513"/>
      <c r="AE15" s="513"/>
      <c r="AI15" s="514"/>
      <c r="AJ15" s="514"/>
    </row>
    <row r="16" spans="1:36" s="184" customFormat="1" ht="18.75" customHeight="1" x14ac:dyDescent="0.2">
      <c r="A16" s="1135"/>
      <c r="B16" s="1046"/>
      <c r="C16" s="559" t="s">
        <v>129</v>
      </c>
      <c r="D16" s="304" t="s">
        <v>185</v>
      </c>
      <c r="E16" s="311">
        <v>1</v>
      </c>
      <c r="F16" s="198">
        <f t="shared" si="4"/>
        <v>71700</v>
      </c>
      <c r="G16" s="185">
        <f>G15</f>
        <v>74570</v>
      </c>
      <c r="H16" s="315">
        <f t="shared" si="3"/>
        <v>1.04</v>
      </c>
      <c r="I16" s="198">
        <f t="shared" si="0"/>
        <v>894840</v>
      </c>
      <c r="J16" s="528"/>
      <c r="K16" s="311"/>
      <c r="L16" s="311"/>
      <c r="M16" s="311"/>
      <c r="N16" s="315"/>
      <c r="O16" s="315"/>
      <c r="P16" s="199"/>
      <c r="Q16" s="303"/>
      <c r="R16" s="311"/>
      <c r="S16" s="311"/>
      <c r="T16" s="311"/>
      <c r="U16" s="315"/>
      <c r="V16" s="315"/>
      <c r="W16" s="199"/>
      <c r="X16" s="593">
        <f t="shared" si="1"/>
        <v>894840</v>
      </c>
      <c r="AB16" s="513"/>
      <c r="AC16" s="513"/>
      <c r="AD16" s="513"/>
      <c r="AE16" s="513"/>
      <c r="AI16" s="514"/>
      <c r="AJ16" s="514"/>
    </row>
    <row r="17" spans="1:36" s="184" customFormat="1" ht="18.75" customHeight="1" x14ac:dyDescent="0.2">
      <c r="A17" s="1135"/>
      <c r="B17" s="1046"/>
      <c r="C17" s="559" t="s">
        <v>128</v>
      </c>
      <c r="D17" s="531" t="s">
        <v>186</v>
      </c>
      <c r="E17" s="311">
        <v>1</v>
      </c>
      <c r="F17" s="198">
        <f>F10</f>
        <v>66200</v>
      </c>
      <c r="G17" s="185">
        <f>G10</f>
        <v>68850</v>
      </c>
      <c r="H17" s="315">
        <f t="shared" si="3"/>
        <v>1.04</v>
      </c>
      <c r="I17" s="198">
        <f t="shared" si="0"/>
        <v>826200</v>
      </c>
      <c r="J17" s="528"/>
      <c r="K17" s="311"/>
      <c r="L17" s="311"/>
      <c r="M17" s="311"/>
      <c r="N17" s="315"/>
      <c r="O17" s="315"/>
      <c r="P17" s="199"/>
      <c r="Q17" s="303"/>
      <c r="R17" s="311"/>
      <c r="S17" s="311"/>
      <c r="T17" s="311"/>
      <c r="U17" s="315"/>
      <c r="V17" s="315"/>
      <c r="W17" s="199"/>
      <c r="X17" s="593">
        <f t="shared" si="1"/>
        <v>826200</v>
      </c>
      <c r="AB17" s="513"/>
      <c r="AC17" s="513"/>
      <c r="AD17" s="513"/>
      <c r="AE17" s="513"/>
      <c r="AI17" s="514"/>
      <c r="AJ17" s="514"/>
    </row>
    <row r="18" spans="1:36" s="184" customFormat="1" ht="18.600000000000001" customHeight="1" x14ac:dyDescent="0.2">
      <c r="A18" s="1135">
        <v>6</v>
      </c>
      <c r="B18" s="1046" t="s">
        <v>127</v>
      </c>
      <c r="C18" s="559" t="s">
        <v>126</v>
      </c>
      <c r="D18" s="304" t="s">
        <v>185</v>
      </c>
      <c r="E18" s="311">
        <v>1</v>
      </c>
      <c r="F18" s="198">
        <f>F16</f>
        <v>71700</v>
      </c>
      <c r="G18" s="185">
        <f>G16</f>
        <v>74570</v>
      </c>
      <c r="H18" s="315">
        <f t="shared" si="3"/>
        <v>1.04</v>
      </c>
      <c r="I18" s="198">
        <f t="shared" si="0"/>
        <v>894840</v>
      </c>
      <c r="J18" s="528"/>
      <c r="K18" s="311"/>
      <c r="L18" s="311"/>
      <c r="M18" s="311"/>
      <c r="N18" s="315"/>
      <c r="O18" s="315"/>
      <c r="P18" s="199"/>
      <c r="Q18" s="303"/>
      <c r="R18" s="311"/>
      <c r="S18" s="311"/>
      <c r="T18" s="311"/>
      <c r="U18" s="315"/>
      <c r="V18" s="315"/>
      <c r="W18" s="199"/>
      <c r="X18" s="593">
        <f t="shared" si="1"/>
        <v>894840</v>
      </c>
      <c r="AB18" s="513"/>
      <c r="AC18" s="513"/>
      <c r="AD18" s="513"/>
      <c r="AE18" s="513"/>
      <c r="AI18" s="514"/>
      <c r="AJ18" s="514"/>
    </row>
    <row r="19" spans="1:36" s="184" customFormat="1" ht="18.75" customHeight="1" x14ac:dyDescent="0.2">
      <c r="A19" s="1135"/>
      <c r="B19" s="1046"/>
      <c r="C19" s="559" t="s">
        <v>125</v>
      </c>
      <c r="D19" s="531" t="s">
        <v>186</v>
      </c>
      <c r="E19" s="311">
        <v>0.5</v>
      </c>
      <c r="F19" s="198">
        <f>F17</f>
        <v>66200</v>
      </c>
      <c r="G19" s="185">
        <f>G17</f>
        <v>68850</v>
      </c>
      <c r="H19" s="315">
        <f t="shared" si="3"/>
        <v>1.04</v>
      </c>
      <c r="I19" s="198">
        <f>G19*E19*12</f>
        <v>413100</v>
      </c>
      <c r="J19" s="529"/>
      <c r="K19" s="311"/>
      <c r="L19" s="311"/>
      <c r="M19" s="311"/>
      <c r="N19" s="315"/>
      <c r="O19" s="315"/>
      <c r="P19" s="199"/>
      <c r="Q19" s="303"/>
      <c r="R19" s="311"/>
      <c r="S19" s="311"/>
      <c r="T19" s="311"/>
      <c r="U19" s="315"/>
      <c r="V19" s="315"/>
      <c r="W19" s="199"/>
      <c r="X19" s="593">
        <f t="shared" si="1"/>
        <v>413100</v>
      </c>
      <c r="AB19" s="513"/>
      <c r="AC19" s="513"/>
      <c r="AD19" s="513"/>
      <c r="AE19" s="513"/>
      <c r="AI19" s="514"/>
      <c r="AJ19" s="514"/>
    </row>
    <row r="20" spans="1:36" s="184" customFormat="1" ht="18.75" customHeight="1" x14ac:dyDescent="0.2">
      <c r="A20" s="1135"/>
      <c r="B20" s="1046"/>
      <c r="C20" s="559" t="s">
        <v>124</v>
      </c>
      <c r="D20" s="531" t="s">
        <v>186</v>
      </c>
      <c r="E20" s="311">
        <v>0.5</v>
      </c>
      <c r="F20" s="198">
        <f>F19</f>
        <v>66200</v>
      </c>
      <c r="G20" s="185">
        <f>G19</f>
        <v>68850</v>
      </c>
      <c r="H20" s="315">
        <f t="shared" si="3"/>
        <v>1.04</v>
      </c>
      <c r="I20" s="198">
        <f t="shared" si="0"/>
        <v>413100</v>
      </c>
      <c r="J20" s="529"/>
      <c r="K20" s="311"/>
      <c r="L20" s="311"/>
      <c r="M20" s="311"/>
      <c r="N20" s="315"/>
      <c r="O20" s="315"/>
      <c r="P20" s="199"/>
      <c r="Q20" s="303"/>
      <c r="R20" s="311"/>
      <c r="S20" s="311"/>
      <c r="T20" s="311"/>
      <c r="U20" s="315"/>
      <c r="V20" s="315"/>
      <c r="W20" s="199"/>
      <c r="X20" s="593">
        <f t="shared" si="1"/>
        <v>413100</v>
      </c>
      <c r="AB20" s="513"/>
      <c r="AC20" s="513"/>
      <c r="AD20" s="513"/>
      <c r="AE20" s="513"/>
      <c r="AI20" s="514"/>
      <c r="AJ20" s="514"/>
    </row>
    <row r="21" spans="1:36" s="184" customFormat="1" ht="18.75" customHeight="1" x14ac:dyDescent="0.2">
      <c r="A21" s="182">
        <v>7</v>
      </c>
      <c r="B21" s="458" t="s">
        <v>123</v>
      </c>
      <c r="C21" s="559" t="s">
        <v>122</v>
      </c>
      <c r="D21" s="304" t="s">
        <v>185</v>
      </c>
      <c r="E21" s="311">
        <v>1</v>
      </c>
      <c r="F21" s="198">
        <f>F18</f>
        <v>71700</v>
      </c>
      <c r="G21" s="185">
        <f>G18</f>
        <v>74570</v>
      </c>
      <c r="H21" s="315">
        <f t="shared" si="3"/>
        <v>1.04</v>
      </c>
      <c r="I21" s="198">
        <f t="shared" si="0"/>
        <v>894840</v>
      </c>
      <c r="J21" s="528"/>
      <c r="K21" s="311"/>
      <c r="L21" s="311"/>
      <c r="M21" s="311"/>
      <c r="N21" s="315"/>
      <c r="O21" s="315"/>
      <c r="P21" s="199"/>
      <c r="Q21" s="303"/>
      <c r="R21" s="311"/>
      <c r="S21" s="311"/>
      <c r="T21" s="311"/>
      <c r="U21" s="315"/>
      <c r="V21" s="315"/>
      <c r="W21" s="199"/>
      <c r="X21" s="593">
        <f t="shared" si="1"/>
        <v>894840</v>
      </c>
      <c r="AB21" s="513"/>
      <c r="AC21" s="513"/>
      <c r="AD21" s="513"/>
      <c r="AE21" s="513"/>
      <c r="AI21" s="514"/>
      <c r="AJ21" s="514"/>
    </row>
    <row r="22" spans="1:36" s="184" customFormat="1" ht="18.75" customHeight="1" x14ac:dyDescent="0.2">
      <c r="A22" s="1135">
        <v>8</v>
      </c>
      <c r="B22" s="1046" t="s">
        <v>121</v>
      </c>
      <c r="C22" s="559" t="s">
        <v>120</v>
      </c>
      <c r="D22" s="304" t="s">
        <v>185</v>
      </c>
      <c r="E22" s="311">
        <v>1</v>
      </c>
      <c r="F22" s="198">
        <f>F21</f>
        <v>71700</v>
      </c>
      <c r="G22" s="185">
        <f>G21</f>
        <v>74570</v>
      </c>
      <c r="H22" s="315">
        <f t="shared" si="3"/>
        <v>1.04</v>
      </c>
      <c r="I22" s="198">
        <f t="shared" si="0"/>
        <v>894840</v>
      </c>
      <c r="J22" s="528"/>
      <c r="K22" s="311"/>
      <c r="L22" s="311"/>
      <c r="M22" s="311"/>
      <c r="N22" s="315"/>
      <c r="O22" s="315"/>
      <c r="P22" s="199"/>
      <c r="Q22" s="303"/>
      <c r="R22" s="311"/>
      <c r="S22" s="311"/>
      <c r="T22" s="311"/>
      <c r="U22" s="315"/>
      <c r="V22" s="315"/>
      <c r="W22" s="199"/>
      <c r="X22" s="593">
        <f t="shared" si="1"/>
        <v>894840</v>
      </c>
      <c r="AB22" s="513"/>
      <c r="AC22" s="513"/>
      <c r="AD22" s="513"/>
      <c r="AE22" s="513"/>
      <c r="AI22" s="514"/>
      <c r="AJ22" s="514"/>
    </row>
    <row r="23" spans="1:36" s="184" customFormat="1" ht="18.75" customHeight="1" x14ac:dyDescent="0.2">
      <c r="A23" s="1135"/>
      <c r="B23" s="1046"/>
      <c r="C23" s="559" t="s">
        <v>119</v>
      </c>
      <c r="D23" s="304" t="s">
        <v>185</v>
      </c>
      <c r="E23" s="311">
        <v>1</v>
      </c>
      <c r="F23" s="198">
        <f>F22</f>
        <v>71700</v>
      </c>
      <c r="G23" s="185">
        <f>G22</f>
        <v>74570</v>
      </c>
      <c r="H23" s="315">
        <f t="shared" si="3"/>
        <v>1.04</v>
      </c>
      <c r="I23" s="198">
        <f t="shared" si="0"/>
        <v>894840</v>
      </c>
      <c r="J23" s="528"/>
      <c r="K23" s="311"/>
      <c r="L23" s="311"/>
      <c r="M23" s="311"/>
      <c r="N23" s="315"/>
      <c r="O23" s="315"/>
      <c r="P23" s="199"/>
      <c r="Q23" s="303"/>
      <c r="R23" s="311"/>
      <c r="S23" s="311"/>
      <c r="T23" s="311"/>
      <c r="U23" s="315"/>
      <c r="V23" s="315"/>
      <c r="W23" s="199"/>
      <c r="X23" s="593">
        <f t="shared" si="1"/>
        <v>894840</v>
      </c>
      <c r="AB23" s="513"/>
      <c r="AC23" s="513"/>
      <c r="AD23" s="513"/>
      <c r="AE23" s="513"/>
      <c r="AI23" s="514"/>
      <c r="AJ23" s="514"/>
    </row>
    <row r="24" spans="1:36" s="184" customFormat="1" ht="18.75" customHeight="1" x14ac:dyDescent="0.2">
      <c r="A24" s="1136">
        <v>9</v>
      </c>
      <c r="B24" s="1139" t="s">
        <v>118</v>
      </c>
      <c r="C24" s="559" t="s">
        <v>117</v>
      </c>
      <c r="D24" s="531" t="s">
        <v>186</v>
      </c>
      <c r="E24" s="311">
        <v>1</v>
      </c>
      <c r="F24" s="198">
        <f>F20</f>
        <v>66200</v>
      </c>
      <c r="G24" s="185">
        <f>G20</f>
        <v>68850</v>
      </c>
      <c r="H24" s="315">
        <f t="shared" si="3"/>
        <v>1.04</v>
      </c>
      <c r="I24" s="198">
        <f t="shared" si="0"/>
        <v>826200</v>
      </c>
      <c r="J24" s="528"/>
      <c r="K24" s="311"/>
      <c r="L24" s="311"/>
      <c r="M24" s="311"/>
      <c r="N24" s="315"/>
      <c r="O24" s="315"/>
      <c r="P24" s="199"/>
      <c r="Q24" s="303"/>
      <c r="R24" s="311"/>
      <c r="S24" s="311"/>
      <c r="T24" s="311"/>
      <c r="U24" s="315"/>
      <c r="V24" s="315"/>
      <c r="W24" s="199"/>
      <c r="X24" s="593">
        <f t="shared" si="1"/>
        <v>826200</v>
      </c>
      <c r="AB24" s="513"/>
      <c r="AC24" s="513"/>
      <c r="AD24" s="513"/>
      <c r="AE24" s="513"/>
      <c r="AI24" s="514"/>
      <c r="AJ24" s="514"/>
    </row>
    <row r="25" spans="1:36" s="184" customFormat="1" ht="18.75" customHeight="1" x14ac:dyDescent="0.2">
      <c r="A25" s="1137"/>
      <c r="B25" s="1140"/>
      <c r="C25" s="559" t="s">
        <v>309</v>
      </c>
      <c r="D25" s="304" t="s">
        <v>185</v>
      </c>
      <c r="E25" s="311">
        <v>1</v>
      </c>
      <c r="F25" s="198">
        <f>F23</f>
        <v>71700</v>
      </c>
      <c r="G25" s="185">
        <f>G23</f>
        <v>74570</v>
      </c>
      <c r="H25" s="315">
        <f t="shared" si="3"/>
        <v>1.04</v>
      </c>
      <c r="I25" s="198">
        <f t="shared" si="0"/>
        <v>894840</v>
      </c>
      <c r="J25" s="528"/>
      <c r="K25" s="311"/>
      <c r="L25" s="311"/>
      <c r="M25" s="311"/>
      <c r="N25" s="315"/>
      <c r="O25" s="315"/>
      <c r="P25" s="199"/>
      <c r="Q25" s="303"/>
      <c r="R25" s="311"/>
      <c r="S25" s="311"/>
      <c r="T25" s="311"/>
      <c r="U25" s="315"/>
      <c r="V25" s="315"/>
      <c r="W25" s="199"/>
      <c r="X25" s="593">
        <f t="shared" si="1"/>
        <v>894840</v>
      </c>
      <c r="AB25" s="513"/>
      <c r="AC25" s="513"/>
      <c r="AD25" s="513"/>
      <c r="AE25" s="513"/>
      <c r="AI25" s="514"/>
      <c r="AJ25" s="514"/>
    </row>
    <row r="26" spans="1:36" s="184" customFormat="1" ht="18.75" customHeight="1" x14ac:dyDescent="0.2">
      <c r="A26" s="1137"/>
      <c r="B26" s="1140"/>
      <c r="C26" s="559" t="s">
        <v>310</v>
      </c>
      <c r="D26" s="304" t="s">
        <v>185</v>
      </c>
      <c r="E26" s="311">
        <v>1</v>
      </c>
      <c r="F26" s="198">
        <f>F25</f>
        <v>71700</v>
      </c>
      <c r="G26" s="185">
        <f>G25</f>
        <v>74570</v>
      </c>
      <c r="H26" s="315">
        <f t="shared" si="3"/>
        <v>1.04</v>
      </c>
      <c r="I26" s="198">
        <f t="shared" si="0"/>
        <v>894840</v>
      </c>
      <c r="J26" s="528"/>
      <c r="K26" s="311"/>
      <c r="L26" s="311"/>
      <c r="M26" s="311"/>
      <c r="N26" s="315"/>
      <c r="O26" s="315"/>
      <c r="P26" s="199"/>
      <c r="Q26" s="303"/>
      <c r="R26" s="311"/>
      <c r="S26" s="311"/>
      <c r="T26" s="311"/>
      <c r="U26" s="315"/>
      <c r="V26" s="315"/>
      <c r="W26" s="199"/>
      <c r="X26" s="593">
        <f t="shared" si="1"/>
        <v>894840</v>
      </c>
      <c r="AB26" s="513"/>
      <c r="AC26" s="513"/>
      <c r="AD26" s="513"/>
      <c r="AE26" s="513"/>
      <c r="AI26" s="514"/>
      <c r="AJ26" s="514"/>
    </row>
    <row r="27" spans="1:36" s="184" customFormat="1" ht="18.75" customHeight="1" x14ac:dyDescent="0.2">
      <c r="A27" s="1137"/>
      <c r="B27" s="1140"/>
      <c r="C27" s="559" t="s">
        <v>311</v>
      </c>
      <c r="D27" s="304" t="s">
        <v>185</v>
      </c>
      <c r="E27" s="311">
        <v>1</v>
      </c>
      <c r="F27" s="198">
        <f t="shared" ref="F27:G41" si="5">F26</f>
        <v>71700</v>
      </c>
      <c r="G27" s="185">
        <f t="shared" si="5"/>
        <v>74570</v>
      </c>
      <c r="H27" s="315">
        <f t="shared" si="3"/>
        <v>1.04</v>
      </c>
      <c r="I27" s="198">
        <f t="shared" si="0"/>
        <v>894840</v>
      </c>
      <c r="J27" s="528"/>
      <c r="K27" s="311"/>
      <c r="L27" s="311"/>
      <c r="M27" s="311"/>
      <c r="N27" s="315"/>
      <c r="O27" s="315"/>
      <c r="P27" s="199"/>
      <c r="Q27" s="303"/>
      <c r="R27" s="311"/>
      <c r="S27" s="311"/>
      <c r="T27" s="311"/>
      <c r="U27" s="315"/>
      <c r="V27" s="315"/>
      <c r="W27" s="199"/>
      <c r="X27" s="593">
        <f t="shared" si="1"/>
        <v>894840</v>
      </c>
      <c r="AB27" s="513"/>
      <c r="AC27" s="513"/>
      <c r="AD27" s="513"/>
      <c r="AE27" s="513"/>
      <c r="AI27" s="514"/>
      <c r="AJ27" s="514"/>
    </row>
    <row r="28" spans="1:36" s="184" customFormat="1" ht="18.75" customHeight="1" x14ac:dyDescent="0.2">
      <c r="A28" s="1138"/>
      <c r="B28" s="1141"/>
      <c r="C28" s="559" t="s">
        <v>312</v>
      </c>
      <c r="D28" s="304" t="s">
        <v>185</v>
      </c>
      <c r="E28" s="311">
        <v>1</v>
      </c>
      <c r="F28" s="198">
        <f t="shared" si="5"/>
        <v>71700</v>
      </c>
      <c r="G28" s="185">
        <f t="shared" si="5"/>
        <v>74570</v>
      </c>
      <c r="H28" s="315">
        <f t="shared" si="3"/>
        <v>1.04</v>
      </c>
      <c r="I28" s="198">
        <f t="shared" si="0"/>
        <v>894840</v>
      </c>
      <c r="J28" s="528"/>
      <c r="K28" s="311"/>
      <c r="L28" s="311"/>
      <c r="M28" s="311"/>
      <c r="N28" s="315"/>
      <c r="O28" s="315"/>
      <c r="P28" s="199"/>
      <c r="Q28" s="303"/>
      <c r="R28" s="311"/>
      <c r="S28" s="311"/>
      <c r="T28" s="311"/>
      <c r="U28" s="315"/>
      <c r="V28" s="315"/>
      <c r="W28" s="199"/>
      <c r="X28" s="593">
        <f t="shared" si="1"/>
        <v>894840</v>
      </c>
      <c r="AB28" s="513"/>
      <c r="AC28" s="513"/>
      <c r="AD28" s="513"/>
      <c r="AE28" s="513"/>
      <c r="AI28" s="514"/>
      <c r="AJ28" s="514"/>
    </row>
    <row r="29" spans="1:36" s="184" customFormat="1" ht="18.75" customHeight="1" x14ac:dyDescent="0.2">
      <c r="A29" s="1135">
        <v>10</v>
      </c>
      <c r="B29" s="1046" t="s">
        <v>114</v>
      </c>
      <c r="C29" s="559" t="s">
        <v>113</v>
      </c>
      <c r="D29" s="304" t="s">
        <v>185</v>
      </c>
      <c r="E29" s="311">
        <v>1</v>
      </c>
      <c r="F29" s="198">
        <f t="shared" si="5"/>
        <v>71700</v>
      </c>
      <c r="G29" s="185">
        <f t="shared" si="5"/>
        <v>74570</v>
      </c>
      <c r="H29" s="315">
        <f t="shared" si="3"/>
        <v>1.04</v>
      </c>
      <c r="I29" s="198">
        <f t="shared" si="0"/>
        <v>894840</v>
      </c>
      <c r="J29" s="528"/>
      <c r="K29" s="311"/>
      <c r="L29" s="311"/>
      <c r="M29" s="311"/>
      <c r="N29" s="315"/>
      <c r="O29" s="315"/>
      <c r="P29" s="199"/>
      <c r="Q29" s="303"/>
      <c r="R29" s="311"/>
      <c r="S29" s="311"/>
      <c r="T29" s="311"/>
      <c r="U29" s="315"/>
      <c r="V29" s="315"/>
      <c r="W29" s="199"/>
      <c r="X29" s="593">
        <f t="shared" si="1"/>
        <v>894840</v>
      </c>
      <c r="AB29" s="513"/>
      <c r="AC29" s="513"/>
      <c r="AD29" s="513"/>
      <c r="AE29" s="513"/>
      <c r="AI29" s="514"/>
      <c r="AJ29" s="514"/>
    </row>
    <row r="30" spans="1:36" s="184" customFormat="1" ht="18.75" customHeight="1" x14ac:dyDescent="0.2">
      <c r="A30" s="1135"/>
      <c r="B30" s="1046"/>
      <c r="C30" s="559" t="s">
        <v>112</v>
      </c>
      <c r="D30" s="304" t="s">
        <v>185</v>
      </c>
      <c r="E30" s="311">
        <v>1</v>
      </c>
      <c r="F30" s="198">
        <f t="shared" si="5"/>
        <v>71700</v>
      </c>
      <c r="G30" s="185">
        <f t="shared" si="5"/>
        <v>74570</v>
      </c>
      <c r="H30" s="315">
        <f t="shared" si="3"/>
        <v>1.04</v>
      </c>
      <c r="I30" s="198">
        <f t="shared" si="0"/>
        <v>894840</v>
      </c>
      <c r="J30" s="528"/>
      <c r="K30" s="311"/>
      <c r="L30" s="311"/>
      <c r="M30" s="311"/>
      <c r="N30" s="315"/>
      <c r="O30" s="315"/>
      <c r="P30" s="199"/>
      <c r="Q30" s="303"/>
      <c r="R30" s="311"/>
      <c r="S30" s="311"/>
      <c r="T30" s="311"/>
      <c r="U30" s="315"/>
      <c r="V30" s="315"/>
      <c r="W30" s="199"/>
      <c r="X30" s="593">
        <f t="shared" si="1"/>
        <v>894840</v>
      </c>
      <c r="AB30" s="513"/>
      <c r="AC30" s="513"/>
      <c r="AD30" s="513"/>
      <c r="AE30" s="513"/>
      <c r="AI30" s="514"/>
      <c r="AJ30" s="514"/>
    </row>
    <row r="31" spans="1:36" s="184" customFormat="1" ht="18.75" customHeight="1" x14ac:dyDescent="0.2">
      <c r="A31" s="182">
        <v>11</v>
      </c>
      <c r="B31" s="459" t="s">
        <v>111</v>
      </c>
      <c r="C31" s="559" t="s">
        <v>110</v>
      </c>
      <c r="D31" s="304" t="s">
        <v>185</v>
      </c>
      <c r="E31" s="311">
        <v>1</v>
      </c>
      <c r="F31" s="198">
        <f t="shared" si="5"/>
        <v>71700</v>
      </c>
      <c r="G31" s="185">
        <f t="shared" si="5"/>
        <v>74570</v>
      </c>
      <c r="H31" s="315">
        <f t="shared" si="3"/>
        <v>1.04</v>
      </c>
      <c r="I31" s="198">
        <f t="shared" si="0"/>
        <v>894840</v>
      </c>
      <c r="J31" s="528"/>
      <c r="K31" s="311"/>
      <c r="L31" s="311"/>
      <c r="M31" s="311"/>
      <c r="N31" s="315"/>
      <c r="O31" s="315"/>
      <c r="P31" s="199"/>
      <c r="Q31" s="303"/>
      <c r="R31" s="311"/>
      <c r="S31" s="311"/>
      <c r="T31" s="311"/>
      <c r="U31" s="315"/>
      <c r="V31" s="315"/>
      <c r="W31" s="199"/>
      <c r="X31" s="593">
        <f t="shared" si="1"/>
        <v>894840</v>
      </c>
      <c r="AB31" s="513"/>
      <c r="AC31" s="513"/>
      <c r="AD31" s="513"/>
      <c r="AE31" s="513"/>
      <c r="AI31" s="514"/>
      <c r="AJ31" s="514"/>
    </row>
    <row r="32" spans="1:36" s="184" customFormat="1" ht="18.75" customHeight="1" x14ac:dyDescent="0.2">
      <c r="A32" s="1134">
        <v>12</v>
      </c>
      <c r="B32" s="1046" t="s">
        <v>109</v>
      </c>
      <c r="C32" s="559" t="s">
        <v>108</v>
      </c>
      <c r="D32" s="304" t="s">
        <v>185</v>
      </c>
      <c r="E32" s="311">
        <v>1</v>
      </c>
      <c r="F32" s="198">
        <f t="shared" si="5"/>
        <v>71700</v>
      </c>
      <c r="G32" s="185">
        <f t="shared" si="5"/>
        <v>74570</v>
      </c>
      <c r="H32" s="315">
        <f t="shared" si="3"/>
        <v>1.04</v>
      </c>
      <c r="I32" s="198">
        <f t="shared" si="0"/>
        <v>894840</v>
      </c>
      <c r="J32" s="528"/>
      <c r="K32" s="311"/>
      <c r="L32" s="311"/>
      <c r="M32" s="311"/>
      <c r="N32" s="315"/>
      <c r="O32" s="315"/>
      <c r="P32" s="199"/>
      <c r="Q32" s="303"/>
      <c r="R32" s="311"/>
      <c r="S32" s="311"/>
      <c r="T32" s="311"/>
      <c r="U32" s="315"/>
      <c r="V32" s="315"/>
      <c r="W32" s="199"/>
      <c r="X32" s="593">
        <f t="shared" si="1"/>
        <v>894840</v>
      </c>
      <c r="AB32" s="513"/>
      <c r="AC32" s="513"/>
      <c r="AD32" s="513"/>
      <c r="AE32" s="513"/>
      <c r="AI32" s="514"/>
      <c r="AJ32" s="514"/>
    </row>
    <row r="33" spans="1:36" s="184" customFormat="1" ht="18.75" customHeight="1" x14ac:dyDescent="0.2">
      <c r="A33" s="1134"/>
      <c r="B33" s="1046"/>
      <c r="C33" s="559" t="s">
        <v>107</v>
      </c>
      <c r="D33" s="304" t="s">
        <v>185</v>
      </c>
      <c r="E33" s="311">
        <v>1</v>
      </c>
      <c r="F33" s="198">
        <f t="shared" si="5"/>
        <v>71700</v>
      </c>
      <c r="G33" s="185">
        <f t="shared" si="5"/>
        <v>74570</v>
      </c>
      <c r="H33" s="315">
        <f t="shared" si="3"/>
        <v>1.04</v>
      </c>
      <c r="I33" s="198">
        <f t="shared" si="0"/>
        <v>894840</v>
      </c>
      <c r="J33" s="528"/>
      <c r="K33" s="311"/>
      <c r="L33" s="311"/>
      <c r="M33" s="311"/>
      <c r="N33" s="315"/>
      <c r="O33" s="315"/>
      <c r="P33" s="199"/>
      <c r="Q33" s="303"/>
      <c r="R33" s="311"/>
      <c r="S33" s="311"/>
      <c r="T33" s="311"/>
      <c r="U33" s="315"/>
      <c r="V33" s="315"/>
      <c r="W33" s="199"/>
      <c r="X33" s="593">
        <f t="shared" si="1"/>
        <v>894840</v>
      </c>
      <c r="AB33" s="513"/>
      <c r="AC33" s="513"/>
      <c r="AD33" s="513"/>
      <c r="AE33" s="513"/>
      <c r="AI33" s="514"/>
      <c r="AJ33" s="514"/>
    </row>
    <row r="34" spans="1:36" s="184" customFormat="1" ht="18.75" customHeight="1" x14ac:dyDescent="0.2">
      <c r="A34" s="182">
        <v>13</v>
      </c>
      <c r="B34" s="459" t="s">
        <v>106</v>
      </c>
      <c r="C34" s="559" t="s">
        <v>105</v>
      </c>
      <c r="D34" s="304" t="s">
        <v>185</v>
      </c>
      <c r="E34" s="311">
        <v>1</v>
      </c>
      <c r="F34" s="198">
        <f t="shared" si="5"/>
        <v>71700</v>
      </c>
      <c r="G34" s="185">
        <f t="shared" si="5"/>
        <v>74570</v>
      </c>
      <c r="H34" s="315">
        <f t="shared" si="3"/>
        <v>1.04</v>
      </c>
      <c r="I34" s="198">
        <f t="shared" si="0"/>
        <v>894840</v>
      </c>
      <c r="J34" s="528"/>
      <c r="K34" s="311"/>
      <c r="L34" s="311"/>
      <c r="M34" s="311"/>
      <c r="N34" s="315"/>
      <c r="O34" s="315"/>
      <c r="P34" s="199"/>
      <c r="Q34" s="303"/>
      <c r="R34" s="311"/>
      <c r="S34" s="311"/>
      <c r="T34" s="311"/>
      <c r="U34" s="315"/>
      <c r="V34" s="315"/>
      <c r="W34" s="199"/>
      <c r="X34" s="593">
        <f t="shared" si="1"/>
        <v>894840</v>
      </c>
      <c r="AB34" s="513"/>
      <c r="AC34" s="513"/>
      <c r="AD34" s="513"/>
      <c r="AE34" s="513"/>
      <c r="AI34" s="514"/>
      <c r="AJ34" s="514"/>
    </row>
    <row r="35" spans="1:36" s="184" customFormat="1" ht="18.75" customHeight="1" x14ac:dyDescent="0.2">
      <c r="A35" s="1131">
        <v>14</v>
      </c>
      <c r="B35" s="1073" t="s">
        <v>104</v>
      </c>
      <c r="C35" s="559" t="s">
        <v>226</v>
      </c>
      <c r="D35" s="304" t="s">
        <v>185</v>
      </c>
      <c r="E35" s="311">
        <v>1</v>
      </c>
      <c r="F35" s="198">
        <f t="shared" si="5"/>
        <v>71700</v>
      </c>
      <c r="G35" s="185">
        <f t="shared" si="5"/>
        <v>74570</v>
      </c>
      <c r="H35" s="315">
        <f t="shared" si="3"/>
        <v>1.04</v>
      </c>
      <c r="I35" s="198">
        <f t="shared" si="0"/>
        <v>894840</v>
      </c>
      <c r="J35" s="528"/>
      <c r="K35" s="311"/>
      <c r="L35" s="311"/>
      <c r="M35" s="311"/>
      <c r="N35" s="315"/>
      <c r="O35" s="315"/>
      <c r="P35" s="199"/>
      <c r="Q35" s="303"/>
      <c r="R35" s="311"/>
      <c r="S35" s="311"/>
      <c r="T35" s="311"/>
      <c r="U35" s="315"/>
      <c r="V35" s="315"/>
      <c r="W35" s="199"/>
      <c r="X35" s="593">
        <f t="shared" si="1"/>
        <v>894840</v>
      </c>
      <c r="AB35" s="513"/>
      <c r="AC35" s="513"/>
      <c r="AD35" s="513"/>
      <c r="AE35" s="513"/>
      <c r="AI35" s="514"/>
      <c r="AJ35" s="514"/>
    </row>
    <row r="36" spans="1:36" s="184" customFormat="1" ht="18.75" customHeight="1" x14ac:dyDescent="0.2">
      <c r="A36" s="1133"/>
      <c r="B36" s="1074"/>
      <c r="C36" s="559" t="s">
        <v>268</v>
      </c>
      <c r="D36" s="304" t="s">
        <v>185</v>
      </c>
      <c r="E36" s="311">
        <v>1</v>
      </c>
      <c r="F36" s="198">
        <f t="shared" si="5"/>
        <v>71700</v>
      </c>
      <c r="G36" s="185">
        <f t="shared" si="5"/>
        <v>74570</v>
      </c>
      <c r="H36" s="315">
        <f t="shared" si="3"/>
        <v>1.04</v>
      </c>
      <c r="I36" s="198">
        <f t="shared" si="0"/>
        <v>894840</v>
      </c>
      <c r="J36" s="528"/>
      <c r="K36" s="311"/>
      <c r="L36" s="311"/>
      <c r="M36" s="311"/>
      <c r="N36" s="315"/>
      <c r="O36" s="315"/>
      <c r="P36" s="199"/>
      <c r="Q36" s="303"/>
      <c r="R36" s="311"/>
      <c r="S36" s="311"/>
      <c r="T36" s="311"/>
      <c r="U36" s="315"/>
      <c r="V36" s="315"/>
      <c r="W36" s="199"/>
      <c r="X36" s="593">
        <f t="shared" si="1"/>
        <v>894840</v>
      </c>
      <c r="AB36" s="513"/>
      <c r="AC36" s="513"/>
      <c r="AD36" s="513"/>
      <c r="AE36" s="513"/>
      <c r="AI36" s="514"/>
      <c r="AJ36" s="514"/>
    </row>
    <row r="37" spans="1:36" s="184" customFormat="1" ht="18.75" customHeight="1" x14ac:dyDescent="0.2">
      <c r="A37" s="182">
        <v>15</v>
      </c>
      <c r="B37" s="459" t="s">
        <v>234</v>
      </c>
      <c r="C37" s="559" t="s">
        <v>235</v>
      </c>
      <c r="D37" s="304" t="s">
        <v>185</v>
      </c>
      <c r="E37" s="311">
        <v>1</v>
      </c>
      <c r="F37" s="198">
        <f>F35</f>
        <v>71700</v>
      </c>
      <c r="G37" s="185">
        <f t="shared" si="5"/>
        <v>74570</v>
      </c>
      <c r="H37" s="315">
        <f>H35</f>
        <v>1.04</v>
      </c>
      <c r="I37" s="198">
        <f t="shared" si="0"/>
        <v>894840</v>
      </c>
      <c r="J37" s="528"/>
      <c r="K37" s="311"/>
      <c r="L37" s="311"/>
      <c r="M37" s="311"/>
      <c r="N37" s="315"/>
      <c r="O37" s="315"/>
      <c r="P37" s="199"/>
      <c r="Q37" s="303"/>
      <c r="R37" s="311"/>
      <c r="S37" s="311"/>
      <c r="T37" s="311"/>
      <c r="U37" s="315"/>
      <c r="V37" s="315"/>
      <c r="W37" s="199"/>
      <c r="X37" s="593">
        <f t="shared" si="1"/>
        <v>894840</v>
      </c>
      <c r="AB37" s="513"/>
      <c r="AC37" s="513"/>
      <c r="AD37" s="513"/>
      <c r="AE37" s="513"/>
      <c r="AI37" s="514"/>
      <c r="AJ37" s="514"/>
    </row>
    <row r="38" spans="1:36" s="184" customFormat="1" ht="18.75" customHeight="1" x14ac:dyDescent="0.2">
      <c r="A38" s="182">
        <v>16</v>
      </c>
      <c r="B38" s="459" t="s">
        <v>102</v>
      </c>
      <c r="C38" s="559" t="s">
        <v>100</v>
      </c>
      <c r="D38" s="304" t="s">
        <v>185</v>
      </c>
      <c r="E38" s="311">
        <v>1</v>
      </c>
      <c r="F38" s="198">
        <f t="shared" si="5"/>
        <v>71700</v>
      </c>
      <c r="G38" s="185">
        <f t="shared" si="5"/>
        <v>74570</v>
      </c>
      <c r="H38" s="315">
        <f t="shared" si="3"/>
        <v>1.04</v>
      </c>
      <c r="I38" s="198">
        <f t="shared" si="0"/>
        <v>894840</v>
      </c>
      <c r="J38" s="528"/>
      <c r="K38" s="311"/>
      <c r="L38" s="311"/>
      <c r="M38" s="311"/>
      <c r="N38" s="315"/>
      <c r="O38" s="315"/>
      <c r="P38" s="199"/>
      <c r="Q38" s="303"/>
      <c r="R38" s="311"/>
      <c r="S38" s="311"/>
      <c r="T38" s="311"/>
      <c r="U38" s="315"/>
      <c r="V38" s="315"/>
      <c r="W38" s="199"/>
      <c r="X38" s="593">
        <f t="shared" si="1"/>
        <v>894840</v>
      </c>
      <c r="AB38" s="513"/>
      <c r="AC38" s="513"/>
      <c r="AD38" s="513"/>
      <c r="AE38" s="513"/>
      <c r="AI38" s="514"/>
      <c r="AJ38" s="514"/>
    </row>
    <row r="39" spans="1:36" s="184" customFormat="1" ht="18.75" customHeight="1" x14ac:dyDescent="0.2">
      <c r="A39" s="182">
        <v>17</v>
      </c>
      <c r="B39" s="459" t="s">
        <v>99</v>
      </c>
      <c r="C39" s="559" t="s">
        <v>98</v>
      </c>
      <c r="D39" s="304" t="s">
        <v>185</v>
      </c>
      <c r="E39" s="311">
        <v>1</v>
      </c>
      <c r="F39" s="198">
        <f t="shared" si="5"/>
        <v>71700</v>
      </c>
      <c r="G39" s="185">
        <f t="shared" si="5"/>
        <v>74570</v>
      </c>
      <c r="H39" s="315">
        <f t="shared" si="3"/>
        <v>1.04</v>
      </c>
      <c r="I39" s="198">
        <f t="shared" si="0"/>
        <v>894840</v>
      </c>
      <c r="J39" s="528"/>
      <c r="K39" s="311"/>
      <c r="L39" s="311"/>
      <c r="M39" s="311"/>
      <c r="N39" s="315"/>
      <c r="O39" s="315"/>
      <c r="P39" s="199"/>
      <c r="Q39" s="303"/>
      <c r="R39" s="311"/>
      <c r="S39" s="311"/>
      <c r="T39" s="311"/>
      <c r="U39" s="315"/>
      <c r="V39" s="315"/>
      <c r="W39" s="199"/>
      <c r="X39" s="593">
        <f t="shared" si="1"/>
        <v>894840</v>
      </c>
      <c r="AB39" s="513"/>
      <c r="AC39" s="513"/>
      <c r="AD39" s="513"/>
      <c r="AE39" s="513"/>
      <c r="AI39" s="514"/>
      <c r="AJ39" s="514"/>
    </row>
    <row r="40" spans="1:36" s="184" customFormat="1" ht="18.75" customHeight="1" x14ac:dyDescent="0.2">
      <c r="A40" s="182">
        <v>18</v>
      </c>
      <c r="B40" s="459" t="s">
        <v>97</v>
      </c>
      <c r="C40" s="559" t="s">
        <v>200</v>
      </c>
      <c r="D40" s="304" t="s">
        <v>185</v>
      </c>
      <c r="E40" s="311">
        <v>1</v>
      </c>
      <c r="F40" s="198">
        <f t="shared" si="5"/>
        <v>71700</v>
      </c>
      <c r="G40" s="185">
        <f t="shared" si="5"/>
        <v>74570</v>
      </c>
      <c r="H40" s="315">
        <f t="shared" si="3"/>
        <v>1.04</v>
      </c>
      <c r="I40" s="198">
        <f t="shared" si="0"/>
        <v>894840</v>
      </c>
      <c r="J40" s="528"/>
      <c r="K40" s="311"/>
      <c r="L40" s="311"/>
      <c r="M40" s="311"/>
      <c r="N40" s="315"/>
      <c r="O40" s="315"/>
      <c r="P40" s="199"/>
      <c r="Q40" s="303"/>
      <c r="R40" s="311"/>
      <c r="S40" s="311"/>
      <c r="T40" s="311"/>
      <c r="U40" s="315"/>
      <c r="V40" s="315"/>
      <c r="W40" s="199"/>
      <c r="X40" s="593">
        <f t="shared" si="1"/>
        <v>894840</v>
      </c>
      <c r="AB40" s="513"/>
      <c r="AC40" s="513"/>
      <c r="AD40" s="513"/>
      <c r="AE40" s="513"/>
      <c r="AI40" s="514"/>
      <c r="AJ40" s="514"/>
    </row>
    <row r="41" spans="1:36" s="184" customFormat="1" ht="18.75" customHeight="1" x14ac:dyDescent="0.2">
      <c r="A41" s="1131">
        <v>19</v>
      </c>
      <c r="B41" s="1129" t="s">
        <v>227</v>
      </c>
      <c r="C41" s="559" t="s">
        <v>228</v>
      </c>
      <c r="D41" s="304" t="s">
        <v>185</v>
      </c>
      <c r="E41" s="311">
        <v>1</v>
      </c>
      <c r="F41" s="198">
        <f t="shared" si="5"/>
        <v>71700</v>
      </c>
      <c r="G41" s="185">
        <f t="shared" si="5"/>
        <v>74570</v>
      </c>
      <c r="H41" s="315">
        <f t="shared" si="3"/>
        <v>1.04</v>
      </c>
      <c r="I41" s="198">
        <f t="shared" si="0"/>
        <v>894840</v>
      </c>
      <c r="J41" s="528"/>
      <c r="K41" s="311"/>
      <c r="L41" s="311"/>
      <c r="M41" s="311"/>
      <c r="N41" s="315"/>
      <c r="O41" s="315"/>
      <c r="P41" s="199"/>
      <c r="Q41" s="303"/>
      <c r="R41" s="311"/>
      <c r="S41" s="311"/>
      <c r="T41" s="311"/>
      <c r="U41" s="315"/>
      <c r="V41" s="315"/>
      <c r="W41" s="199"/>
      <c r="X41" s="593">
        <f t="shared" si="1"/>
        <v>894840</v>
      </c>
      <c r="AB41" s="513"/>
      <c r="AC41" s="513"/>
      <c r="AD41" s="513"/>
      <c r="AE41" s="513"/>
      <c r="AI41" s="514"/>
      <c r="AJ41" s="514"/>
    </row>
    <row r="42" spans="1:36" s="184" customFormat="1" ht="18.75" customHeight="1" x14ac:dyDescent="0.2">
      <c r="A42" s="1133"/>
      <c r="B42" s="1125"/>
      <c r="C42" s="559" t="s">
        <v>306</v>
      </c>
      <c r="D42" s="531" t="s">
        <v>186</v>
      </c>
      <c r="E42" s="311">
        <v>0.5</v>
      </c>
      <c r="F42" s="198">
        <f>F24</f>
        <v>66200</v>
      </c>
      <c r="G42" s="185">
        <f>G24</f>
        <v>68850</v>
      </c>
      <c r="H42" s="315">
        <f t="shared" si="3"/>
        <v>1.04</v>
      </c>
      <c r="I42" s="198">
        <f t="shared" si="0"/>
        <v>413100</v>
      </c>
      <c r="J42" s="528"/>
      <c r="K42" s="311"/>
      <c r="L42" s="311"/>
      <c r="M42" s="311"/>
      <c r="N42" s="315"/>
      <c r="O42" s="315"/>
      <c r="P42" s="199"/>
      <c r="Q42" s="303"/>
      <c r="R42" s="311"/>
      <c r="S42" s="311"/>
      <c r="T42" s="311"/>
      <c r="U42" s="315"/>
      <c r="V42" s="315"/>
      <c r="W42" s="199"/>
      <c r="X42" s="593">
        <f t="shared" si="1"/>
        <v>413100</v>
      </c>
      <c r="AB42" s="513"/>
      <c r="AC42" s="513"/>
      <c r="AD42" s="513"/>
      <c r="AE42" s="513"/>
      <c r="AI42" s="514"/>
      <c r="AJ42" s="514"/>
    </row>
    <row r="43" spans="1:36" s="184" customFormat="1" ht="18.75" customHeight="1" x14ac:dyDescent="0.2">
      <c r="A43" s="182">
        <v>20</v>
      </c>
      <c r="B43" s="459" t="s">
        <v>229</v>
      </c>
      <c r="C43" s="559" t="s">
        <v>230</v>
      </c>
      <c r="D43" s="304" t="s">
        <v>185</v>
      </c>
      <c r="E43" s="311">
        <v>1</v>
      </c>
      <c r="F43" s="198">
        <f>F41</f>
        <v>71700</v>
      </c>
      <c r="G43" s="185">
        <f>G41</f>
        <v>74570</v>
      </c>
      <c r="H43" s="315">
        <f>H41</f>
        <v>1.04</v>
      </c>
      <c r="I43" s="198">
        <f t="shared" si="0"/>
        <v>894840</v>
      </c>
      <c r="J43" s="528"/>
      <c r="K43" s="311"/>
      <c r="L43" s="311"/>
      <c r="M43" s="311"/>
      <c r="N43" s="315"/>
      <c r="O43" s="315"/>
      <c r="P43" s="199"/>
      <c r="Q43" s="303"/>
      <c r="R43" s="311"/>
      <c r="S43" s="311"/>
      <c r="T43" s="311"/>
      <c r="U43" s="315"/>
      <c r="V43" s="315"/>
      <c r="W43" s="199"/>
      <c r="X43" s="593">
        <f t="shared" si="1"/>
        <v>894840</v>
      </c>
      <c r="AB43" s="513"/>
      <c r="AC43" s="513"/>
      <c r="AD43" s="513"/>
      <c r="AE43" s="513"/>
      <c r="AI43" s="514"/>
      <c r="AJ43" s="514"/>
    </row>
    <row r="44" spans="1:36" s="184" customFormat="1" ht="18.75" customHeight="1" x14ac:dyDescent="0.2">
      <c r="A44" s="182">
        <v>21</v>
      </c>
      <c r="B44" s="459" t="s">
        <v>270</v>
      </c>
      <c r="C44" s="559" t="s">
        <v>271</v>
      </c>
      <c r="D44" s="304" t="s">
        <v>185</v>
      </c>
      <c r="E44" s="311">
        <v>1</v>
      </c>
      <c r="F44" s="198">
        <f t="shared" ref="F44" si="6">F43</f>
        <v>71700</v>
      </c>
      <c r="G44" s="185">
        <f>G43</f>
        <v>74570</v>
      </c>
      <c r="H44" s="315">
        <f t="shared" si="3"/>
        <v>1.04</v>
      </c>
      <c r="I44" s="198">
        <f t="shared" si="0"/>
        <v>894840</v>
      </c>
      <c r="J44" s="528"/>
      <c r="K44" s="311"/>
      <c r="L44" s="311"/>
      <c r="M44" s="311"/>
      <c r="N44" s="315"/>
      <c r="O44" s="315"/>
      <c r="P44" s="199"/>
      <c r="Q44" s="303"/>
      <c r="R44" s="311"/>
      <c r="S44" s="311"/>
      <c r="T44" s="311"/>
      <c r="U44" s="315"/>
      <c r="V44" s="315"/>
      <c r="W44" s="199"/>
      <c r="X44" s="593">
        <f t="shared" si="1"/>
        <v>894840</v>
      </c>
      <c r="AB44" s="513"/>
      <c r="AC44" s="513"/>
      <c r="AD44" s="513"/>
      <c r="AE44" s="513"/>
      <c r="AI44" s="514"/>
      <c r="AJ44" s="514"/>
    </row>
    <row r="45" spans="1:36" s="184" customFormat="1" ht="18.75" customHeight="1" x14ac:dyDescent="0.2">
      <c r="A45" s="182">
        <v>22</v>
      </c>
      <c r="B45" s="459" t="s">
        <v>272</v>
      </c>
      <c r="C45" s="559" t="s">
        <v>273</v>
      </c>
      <c r="D45" s="304" t="s">
        <v>185</v>
      </c>
      <c r="E45" s="311">
        <v>1</v>
      </c>
      <c r="F45" s="198">
        <f>F44</f>
        <v>71700</v>
      </c>
      <c r="G45" s="185">
        <f>G44</f>
        <v>74570</v>
      </c>
      <c r="H45" s="315">
        <f>H44</f>
        <v>1.04</v>
      </c>
      <c r="I45" s="198">
        <f t="shared" si="0"/>
        <v>894840</v>
      </c>
      <c r="J45" s="528"/>
      <c r="K45" s="311"/>
      <c r="L45" s="311"/>
      <c r="M45" s="311"/>
      <c r="N45" s="315"/>
      <c r="O45" s="315"/>
      <c r="P45" s="199"/>
      <c r="Q45" s="303"/>
      <c r="R45" s="311"/>
      <c r="S45" s="311"/>
      <c r="T45" s="311"/>
      <c r="U45" s="315"/>
      <c r="V45" s="315"/>
      <c r="W45" s="199"/>
      <c r="X45" s="593">
        <f t="shared" si="1"/>
        <v>894840</v>
      </c>
      <c r="AB45" s="513"/>
      <c r="AC45" s="513"/>
      <c r="AD45" s="513"/>
      <c r="AE45" s="513"/>
      <c r="AI45" s="514"/>
      <c r="AJ45" s="514"/>
    </row>
    <row r="46" spans="1:36" s="189" customFormat="1" ht="18.75" customHeight="1" thickBot="1" x14ac:dyDescent="0.25">
      <c r="A46" s="396"/>
      <c r="B46" s="460" t="s">
        <v>1</v>
      </c>
      <c r="C46" s="558"/>
      <c r="D46" s="443"/>
      <c r="E46" s="399">
        <f>SUM(E6:E45)</f>
        <v>38.5</v>
      </c>
      <c r="F46" s="611"/>
      <c r="G46" s="399"/>
      <c r="H46" s="400"/>
      <c r="I46" s="633">
        <f t="shared" ref="I46" si="7">SUM(I6:I45)</f>
        <v>34142460</v>
      </c>
      <c r="J46" s="577"/>
      <c r="K46" s="578"/>
      <c r="L46" s="620"/>
      <c r="M46" s="578"/>
      <c r="N46" s="535"/>
      <c r="O46" s="535"/>
      <c r="P46" s="620"/>
      <c r="Q46" s="402"/>
      <c r="R46" s="399"/>
      <c r="S46" s="611"/>
      <c r="T46" s="399"/>
      <c r="U46" s="400"/>
      <c r="V46" s="400"/>
      <c r="W46" s="641"/>
      <c r="X46" s="642">
        <f>SUM(X6:X45)</f>
        <v>34142460</v>
      </c>
      <c r="Y46" s="237" t="e">
        <f>#REF!-'2019год'!X46</f>
        <v>#REF!</v>
      </c>
      <c r="Z46" s="515"/>
      <c r="AA46" s="515"/>
      <c r="AB46" s="516"/>
      <c r="AC46" s="515"/>
      <c r="AD46" s="515"/>
      <c r="AE46" s="516"/>
      <c r="AF46" s="515"/>
      <c r="AG46" s="515"/>
      <c r="AH46" s="516"/>
      <c r="AI46" s="517"/>
      <c r="AJ46" s="517"/>
    </row>
    <row r="47" spans="1:36" s="196" customFormat="1" ht="18.75" customHeight="1" x14ac:dyDescent="0.2">
      <c r="A47" s="209" t="s">
        <v>96</v>
      </c>
      <c r="B47" s="461"/>
      <c r="C47" s="553"/>
      <c r="D47" s="565"/>
      <c r="E47" s="208"/>
      <c r="F47" s="208"/>
      <c r="G47" s="191"/>
      <c r="H47" s="194"/>
      <c r="I47" s="603"/>
      <c r="J47" s="579"/>
      <c r="K47" s="176"/>
      <c r="L47" s="176"/>
      <c r="M47" s="176"/>
      <c r="N47" s="580"/>
      <c r="O47" s="580"/>
      <c r="P47" s="621"/>
      <c r="Q47" s="550"/>
      <c r="R47" s="194"/>
      <c r="S47" s="194"/>
      <c r="T47" s="194"/>
      <c r="U47" s="194"/>
      <c r="V47" s="194"/>
      <c r="W47" s="596"/>
      <c r="X47" s="593">
        <f t="shared" si="1"/>
        <v>0</v>
      </c>
      <c r="Z47" s="184"/>
      <c r="AA47" s="184"/>
      <c r="AB47" s="513"/>
      <c r="AC47" s="513"/>
      <c r="AD47" s="513"/>
      <c r="AE47" s="513"/>
      <c r="AF47" s="184"/>
      <c r="AG47" s="184"/>
      <c r="AH47" s="184"/>
      <c r="AI47" s="514"/>
      <c r="AJ47" s="514"/>
    </row>
    <row r="48" spans="1:36" s="196" customFormat="1" ht="18.75" customHeight="1" x14ac:dyDescent="0.2">
      <c r="A48" s="182">
        <v>1</v>
      </c>
      <c r="B48" s="462" t="s">
        <v>95</v>
      </c>
      <c r="C48" s="557" t="s">
        <v>94</v>
      </c>
      <c r="D48" s="566"/>
      <c r="E48" s="198"/>
      <c r="F48" s="198"/>
      <c r="G48" s="185"/>
      <c r="H48" s="315"/>
      <c r="I48" s="198"/>
      <c r="J48" s="304">
        <v>1445</v>
      </c>
      <c r="K48" s="311">
        <v>1</v>
      </c>
      <c r="L48" s="625">
        <v>93700</v>
      </c>
      <c r="M48" s="534">
        <v>97450</v>
      </c>
      <c r="N48" s="315">
        <v>1.04</v>
      </c>
      <c r="O48" s="532">
        <v>1.1000000000000001</v>
      </c>
      <c r="P48" s="198">
        <f t="shared" ref="P48:P53" si="8">M48*K48*O48*12</f>
        <v>1286340.0000000002</v>
      </c>
      <c r="Q48" s="529"/>
      <c r="R48" s="315"/>
      <c r="S48" s="315"/>
      <c r="T48" s="315"/>
      <c r="U48" s="315"/>
      <c r="V48" s="315"/>
      <c r="W48" s="318"/>
      <c r="X48" s="593">
        <f t="shared" si="1"/>
        <v>1286340.0000000002</v>
      </c>
      <c r="Z48" s="184"/>
      <c r="AA48" s="184"/>
      <c r="AB48" s="513"/>
      <c r="AC48" s="513"/>
      <c r="AD48" s="513"/>
      <c r="AE48" s="513"/>
      <c r="AF48" s="184"/>
      <c r="AG48" s="184"/>
      <c r="AH48" s="184"/>
      <c r="AI48" s="514"/>
      <c r="AJ48" s="514"/>
    </row>
    <row r="49" spans="1:36" s="196" customFormat="1" ht="18.75" customHeight="1" x14ac:dyDescent="0.2">
      <c r="A49" s="182">
        <v>2</v>
      </c>
      <c r="B49" s="589" t="s">
        <v>93</v>
      </c>
      <c r="C49" s="556" t="s">
        <v>92</v>
      </c>
      <c r="D49" s="566"/>
      <c r="E49" s="198"/>
      <c r="F49" s="198"/>
      <c r="G49" s="185"/>
      <c r="H49" s="315"/>
      <c r="I49" s="198"/>
      <c r="J49" s="304">
        <v>970</v>
      </c>
      <c r="K49" s="311">
        <v>1</v>
      </c>
      <c r="L49" s="625">
        <v>88200</v>
      </c>
      <c r="M49" s="534">
        <v>91730</v>
      </c>
      <c r="N49" s="315">
        <f>N48</f>
        <v>1.04</v>
      </c>
      <c r="O49" s="533">
        <v>1.05</v>
      </c>
      <c r="P49" s="198">
        <f t="shared" si="8"/>
        <v>1155798</v>
      </c>
      <c r="Q49" s="529"/>
      <c r="R49" s="315"/>
      <c r="S49" s="315"/>
      <c r="T49" s="315"/>
      <c r="U49" s="315"/>
      <c r="V49" s="315"/>
      <c r="W49" s="318"/>
      <c r="X49" s="593">
        <f t="shared" si="1"/>
        <v>1155798</v>
      </c>
      <c r="Z49" s="184"/>
      <c r="AA49" s="184"/>
      <c r="AB49" s="513"/>
      <c r="AC49" s="513"/>
      <c r="AD49" s="513"/>
      <c r="AE49" s="513"/>
      <c r="AF49" s="184"/>
      <c r="AG49" s="184"/>
      <c r="AH49" s="184"/>
      <c r="AI49" s="514"/>
      <c r="AJ49" s="514"/>
    </row>
    <row r="50" spans="1:36" s="196" customFormat="1" ht="18.75" customHeight="1" x14ac:dyDescent="0.2">
      <c r="A50" s="1131">
        <v>3</v>
      </c>
      <c r="B50" s="1129" t="s">
        <v>91</v>
      </c>
      <c r="C50" s="557" t="s">
        <v>179</v>
      </c>
      <c r="D50" s="566"/>
      <c r="E50" s="198"/>
      <c r="F50" s="198"/>
      <c r="G50" s="185"/>
      <c r="H50" s="315"/>
      <c r="I50" s="198"/>
      <c r="J50" s="304">
        <v>1279</v>
      </c>
      <c r="K50" s="311">
        <v>1</v>
      </c>
      <c r="L50" s="625">
        <v>93700</v>
      </c>
      <c r="M50" s="534">
        <f>M48</f>
        <v>97450</v>
      </c>
      <c r="N50" s="315">
        <f t="shared" ref="N50:N53" si="9">N49</f>
        <v>1.04</v>
      </c>
      <c r="O50" s="532">
        <v>1.1000000000000001</v>
      </c>
      <c r="P50" s="198">
        <f t="shared" si="8"/>
        <v>1286340.0000000002</v>
      </c>
      <c r="Q50" s="529"/>
      <c r="R50" s="315"/>
      <c r="S50" s="315"/>
      <c r="T50" s="315"/>
      <c r="U50" s="315"/>
      <c r="V50" s="315"/>
      <c r="W50" s="318"/>
      <c r="X50" s="593">
        <f t="shared" si="1"/>
        <v>1286340.0000000002</v>
      </c>
      <c r="Z50" s="184"/>
      <c r="AA50" s="184"/>
      <c r="AB50" s="513"/>
      <c r="AC50" s="513"/>
      <c r="AD50" s="513"/>
      <c r="AE50" s="513"/>
      <c r="AF50" s="184"/>
      <c r="AG50" s="184"/>
      <c r="AH50" s="184"/>
      <c r="AI50" s="514"/>
      <c r="AJ50" s="514"/>
    </row>
    <row r="51" spans="1:36" s="196" customFormat="1" ht="18.75" customHeight="1" x14ac:dyDescent="0.2">
      <c r="A51" s="1133"/>
      <c r="B51" s="1125"/>
      <c r="C51" s="559" t="s">
        <v>284</v>
      </c>
      <c r="D51" s="566"/>
      <c r="E51" s="198"/>
      <c r="F51" s="198"/>
      <c r="G51" s="185"/>
      <c r="H51" s="315"/>
      <c r="I51" s="198"/>
      <c r="J51" s="304">
        <v>300</v>
      </c>
      <c r="K51" s="311">
        <v>1</v>
      </c>
      <c r="L51" s="625">
        <v>66200</v>
      </c>
      <c r="M51" s="534">
        <v>68850</v>
      </c>
      <c r="N51" s="315">
        <f t="shared" si="9"/>
        <v>1.04</v>
      </c>
      <c r="O51" s="532">
        <v>1</v>
      </c>
      <c r="P51" s="198">
        <f t="shared" si="8"/>
        <v>826200</v>
      </c>
      <c r="Q51" s="529"/>
      <c r="R51" s="315"/>
      <c r="S51" s="315"/>
      <c r="T51" s="315"/>
      <c r="U51" s="315"/>
      <c r="V51" s="315"/>
      <c r="W51" s="318"/>
      <c r="X51" s="593">
        <f t="shared" si="1"/>
        <v>826200</v>
      </c>
      <c r="Z51" s="184"/>
      <c r="AA51" s="184"/>
      <c r="AB51" s="513"/>
      <c r="AC51" s="513"/>
      <c r="AD51" s="513"/>
      <c r="AE51" s="513"/>
      <c r="AF51" s="184"/>
      <c r="AG51" s="184"/>
      <c r="AH51" s="184"/>
      <c r="AI51" s="514"/>
      <c r="AJ51" s="514"/>
    </row>
    <row r="52" spans="1:36" s="196" customFormat="1" ht="18.75" customHeight="1" x14ac:dyDescent="0.2">
      <c r="A52" s="182">
        <v>4</v>
      </c>
      <c r="B52" s="462" t="s">
        <v>90</v>
      </c>
      <c r="C52" s="556" t="s">
        <v>180</v>
      </c>
      <c r="D52" s="566"/>
      <c r="E52" s="198"/>
      <c r="F52" s="198"/>
      <c r="G52" s="185"/>
      <c r="H52" s="315"/>
      <c r="I52" s="198"/>
      <c r="J52" s="304">
        <v>548</v>
      </c>
      <c r="K52" s="311">
        <v>1</v>
      </c>
      <c r="L52" s="626">
        <v>82700</v>
      </c>
      <c r="M52" s="534">
        <v>86000</v>
      </c>
      <c r="N52" s="315">
        <f>N50</f>
        <v>1.04</v>
      </c>
      <c r="O52" s="533">
        <v>1.05</v>
      </c>
      <c r="P52" s="198">
        <f t="shared" si="8"/>
        <v>1083600</v>
      </c>
      <c r="Q52" s="529"/>
      <c r="R52" s="315"/>
      <c r="S52" s="315"/>
      <c r="T52" s="315"/>
      <c r="U52" s="315"/>
      <c r="V52" s="315"/>
      <c r="W52" s="318"/>
      <c r="X52" s="593">
        <f t="shared" si="1"/>
        <v>1083600</v>
      </c>
      <c r="Z52" s="184"/>
      <c r="AA52" s="184"/>
      <c r="AB52" s="513"/>
      <c r="AC52" s="513"/>
      <c r="AD52" s="513"/>
      <c r="AE52" s="513"/>
      <c r="AF52" s="184"/>
      <c r="AG52" s="184"/>
      <c r="AH52" s="184"/>
      <c r="AI52" s="514"/>
      <c r="AJ52" s="514"/>
    </row>
    <row r="53" spans="1:36" s="196" customFormat="1" ht="18.75" customHeight="1" x14ac:dyDescent="0.2">
      <c r="A53" s="182">
        <v>5</v>
      </c>
      <c r="B53" s="462" t="s">
        <v>89</v>
      </c>
      <c r="C53" s="557" t="s">
        <v>88</v>
      </c>
      <c r="D53" s="566"/>
      <c r="E53" s="198"/>
      <c r="F53" s="198"/>
      <c r="G53" s="185"/>
      <c r="H53" s="315"/>
      <c r="I53" s="198"/>
      <c r="J53" s="304">
        <v>1427</v>
      </c>
      <c r="K53" s="311">
        <v>1</v>
      </c>
      <c r="L53" s="625">
        <v>93700</v>
      </c>
      <c r="M53" s="534">
        <f>M48</f>
        <v>97450</v>
      </c>
      <c r="N53" s="315">
        <f t="shared" si="9"/>
        <v>1.04</v>
      </c>
      <c r="O53" s="532">
        <v>1.1000000000000001</v>
      </c>
      <c r="P53" s="198">
        <f t="shared" si="8"/>
        <v>1286340.0000000002</v>
      </c>
      <c r="Q53" s="529"/>
      <c r="R53" s="315"/>
      <c r="S53" s="315"/>
      <c r="T53" s="315"/>
      <c r="U53" s="315"/>
      <c r="V53" s="315"/>
      <c r="W53" s="318"/>
      <c r="X53" s="593">
        <f t="shared" si="1"/>
        <v>1286340.0000000002</v>
      </c>
      <c r="Z53" s="184"/>
      <c r="AA53" s="184"/>
      <c r="AB53" s="513"/>
      <c r="AC53" s="513"/>
      <c r="AD53" s="513"/>
      <c r="AE53" s="513"/>
      <c r="AF53" s="184"/>
      <c r="AG53" s="184"/>
      <c r="AH53" s="184"/>
      <c r="AI53" s="514"/>
      <c r="AJ53" s="514"/>
    </row>
    <row r="54" spans="1:36" s="196" customFormat="1" ht="18.75" customHeight="1" x14ac:dyDescent="0.2">
      <c r="A54" s="1131">
        <v>6</v>
      </c>
      <c r="B54" s="1073" t="s">
        <v>87</v>
      </c>
      <c r="C54" s="557" t="s">
        <v>85</v>
      </c>
      <c r="D54" s="566" t="s">
        <v>185</v>
      </c>
      <c r="E54" s="198">
        <v>1</v>
      </c>
      <c r="F54" s="198">
        <f>F45</f>
        <v>71700</v>
      </c>
      <c r="G54" s="185">
        <f>G45</f>
        <v>74570</v>
      </c>
      <c r="H54" s="315">
        <f>H45</f>
        <v>1.04</v>
      </c>
      <c r="I54" s="198">
        <f>G54*E54*12</f>
        <v>894840</v>
      </c>
      <c r="J54" s="304"/>
      <c r="K54" s="311"/>
      <c r="L54" s="199"/>
      <c r="M54" s="200"/>
      <c r="N54" s="315"/>
      <c r="O54" s="315"/>
      <c r="P54" s="198"/>
      <c r="Q54" s="529"/>
      <c r="R54" s="315"/>
      <c r="S54" s="315"/>
      <c r="T54" s="315"/>
      <c r="U54" s="315"/>
      <c r="V54" s="315"/>
      <c r="W54" s="318"/>
      <c r="X54" s="593">
        <f t="shared" si="1"/>
        <v>894840</v>
      </c>
      <c r="Z54" s="184"/>
      <c r="AA54" s="184"/>
      <c r="AB54" s="513"/>
      <c r="AC54" s="513"/>
      <c r="AD54" s="513"/>
      <c r="AE54" s="513"/>
      <c r="AF54" s="184"/>
      <c r="AG54" s="184"/>
      <c r="AH54" s="184"/>
      <c r="AI54" s="514"/>
      <c r="AJ54" s="514"/>
    </row>
    <row r="55" spans="1:36" s="196" customFormat="1" ht="18.75" customHeight="1" x14ac:dyDescent="0.2">
      <c r="A55" s="1132"/>
      <c r="B55" s="1077"/>
      <c r="C55" s="557" t="s">
        <v>239</v>
      </c>
      <c r="D55" s="566" t="s">
        <v>185</v>
      </c>
      <c r="E55" s="198">
        <v>1</v>
      </c>
      <c r="F55" s="198">
        <f>F54</f>
        <v>71700</v>
      </c>
      <c r="G55" s="185">
        <f>G54</f>
        <v>74570</v>
      </c>
      <c r="H55" s="315">
        <f>H54</f>
        <v>1.04</v>
      </c>
      <c r="I55" s="198">
        <f>G55*E55*12</f>
        <v>894840</v>
      </c>
      <c r="J55" s="304"/>
      <c r="K55" s="311"/>
      <c r="L55" s="199"/>
      <c r="M55" s="200"/>
      <c r="N55" s="315"/>
      <c r="O55" s="315"/>
      <c r="P55" s="198"/>
      <c r="Q55" s="529"/>
      <c r="R55" s="315"/>
      <c r="S55" s="315"/>
      <c r="T55" s="315"/>
      <c r="U55" s="315"/>
      <c r="V55" s="315"/>
      <c r="W55" s="318"/>
      <c r="X55" s="593">
        <f t="shared" si="1"/>
        <v>894840</v>
      </c>
      <c r="Z55" s="184"/>
      <c r="AA55" s="184"/>
      <c r="AB55" s="513"/>
      <c r="AC55" s="513"/>
      <c r="AD55" s="513"/>
      <c r="AE55" s="513"/>
      <c r="AF55" s="184"/>
      <c r="AG55" s="184"/>
      <c r="AH55" s="184"/>
      <c r="AI55" s="514"/>
      <c r="AJ55" s="514"/>
    </row>
    <row r="56" spans="1:36" s="196" customFormat="1" ht="18.75" customHeight="1" x14ac:dyDescent="0.2">
      <c r="A56" s="1132"/>
      <c r="B56" s="1077"/>
      <c r="C56" s="555" t="s">
        <v>86</v>
      </c>
      <c r="D56" s="566"/>
      <c r="E56" s="198"/>
      <c r="F56" s="198"/>
      <c r="G56" s="185"/>
      <c r="H56" s="315"/>
      <c r="I56" s="198"/>
      <c r="J56" s="527">
        <v>708</v>
      </c>
      <c r="K56" s="330">
        <v>0.5</v>
      </c>
      <c r="L56" s="627">
        <v>88200</v>
      </c>
      <c r="M56" s="534">
        <f>M49</f>
        <v>91730</v>
      </c>
      <c r="N56" s="526">
        <f>N53</f>
        <v>1.04</v>
      </c>
      <c r="O56" s="526">
        <v>1</v>
      </c>
      <c r="P56" s="198">
        <f t="shared" ref="P56:P61" si="10">M56*K56*O56*12</f>
        <v>550380</v>
      </c>
      <c r="Q56" s="529"/>
      <c r="R56" s="315"/>
      <c r="S56" s="315"/>
      <c r="T56" s="315"/>
      <c r="U56" s="315"/>
      <c r="V56" s="315"/>
      <c r="W56" s="318"/>
      <c r="X56" s="593">
        <f t="shared" si="1"/>
        <v>550380</v>
      </c>
      <c r="Z56" s="184"/>
      <c r="AA56" s="184"/>
      <c r="AB56" s="513"/>
      <c r="AC56" s="513"/>
      <c r="AD56" s="513"/>
      <c r="AE56" s="513"/>
      <c r="AF56" s="184"/>
      <c r="AG56" s="184"/>
      <c r="AH56" s="184"/>
      <c r="AI56" s="514"/>
      <c r="AJ56" s="514"/>
    </row>
    <row r="57" spans="1:36" s="196" customFormat="1" ht="18.75" customHeight="1" x14ac:dyDescent="0.2">
      <c r="A57" s="1133"/>
      <c r="B57" s="1074"/>
      <c r="C57" s="556" t="s">
        <v>86</v>
      </c>
      <c r="D57" s="566"/>
      <c r="E57" s="198"/>
      <c r="F57" s="198"/>
      <c r="G57" s="185"/>
      <c r="H57" s="315"/>
      <c r="I57" s="198"/>
      <c r="J57" s="304">
        <v>1439</v>
      </c>
      <c r="K57" s="311">
        <v>1</v>
      </c>
      <c r="L57" s="625">
        <v>93700</v>
      </c>
      <c r="M57" s="534">
        <f>M53</f>
        <v>97450</v>
      </c>
      <c r="N57" s="315">
        <f>N56</f>
        <v>1.04</v>
      </c>
      <c r="O57" s="533">
        <v>1.05</v>
      </c>
      <c r="P57" s="198">
        <f t="shared" si="10"/>
        <v>1227870</v>
      </c>
      <c r="Q57" s="529"/>
      <c r="R57" s="315"/>
      <c r="S57" s="315"/>
      <c r="T57" s="315"/>
      <c r="U57" s="315"/>
      <c r="V57" s="315"/>
      <c r="W57" s="318"/>
      <c r="X57" s="593">
        <f t="shared" si="1"/>
        <v>1227870</v>
      </c>
      <c r="Z57" s="184"/>
      <c r="AA57" s="184"/>
      <c r="AB57" s="513"/>
      <c r="AC57" s="513"/>
      <c r="AD57" s="513"/>
      <c r="AE57" s="513"/>
      <c r="AF57" s="184"/>
      <c r="AG57" s="184"/>
      <c r="AH57" s="184"/>
      <c r="AI57" s="514"/>
      <c r="AJ57" s="514"/>
    </row>
    <row r="58" spans="1:36" s="196" customFormat="1" ht="18.75" customHeight="1" x14ac:dyDescent="0.2">
      <c r="A58" s="1131">
        <v>7</v>
      </c>
      <c r="B58" s="1073" t="s">
        <v>84</v>
      </c>
      <c r="C58" s="557" t="s">
        <v>83</v>
      </c>
      <c r="D58" s="566"/>
      <c r="E58" s="198"/>
      <c r="F58" s="198"/>
      <c r="G58" s="185"/>
      <c r="H58" s="315"/>
      <c r="I58" s="198"/>
      <c r="J58" s="304">
        <v>503</v>
      </c>
      <c r="K58" s="311">
        <v>1</v>
      </c>
      <c r="L58" s="625">
        <v>82700</v>
      </c>
      <c r="M58" s="534">
        <f>M52</f>
        <v>86000</v>
      </c>
      <c r="N58" s="315">
        <f t="shared" ref="N58:N61" si="11">N57</f>
        <v>1.04</v>
      </c>
      <c r="O58" s="315">
        <v>1</v>
      </c>
      <c r="P58" s="198">
        <f t="shared" si="10"/>
        <v>1032000</v>
      </c>
      <c r="Q58" s="529"/>
      <c r="R58" s="315"/>
      <c r="S58" s="315"/>
      <c r="T58" s="315"/>
      <c r="U58" s="315"/>
      <c r="V58" s="315"/>
      <c r="W58" s="318"/>
      <c r="X58" s="593">
        <f t="shared" si="1"/>
        <v>1032000</v>
      </c>
      <c r="Z58" s="184"/>
      <c r="AA58" s="184"/>
      <c r="AB58" s="513"/>
      <c r="AC58" s="513"/>
      <c r="AD58" s="513"/>
      <c r="AE58" s="513"/>
      <c r="AF58" s="184"/>
      <c r="AG58" s="184"/>
      <c r="AH58" s="184"/>
      <c r="AI58" s="514"/>
      <c r="AJ58" s="514"/>
    </row>
    <row r="59" spans="1:36" s="196" customFormat="1" ht="18.75" customHeight="1" x14ac:dyDescent="0.2">
      <c r="A59" s="1132"/>
      <c r="B59" s="1077"/>
      <c r="C59" s="557" t="s">
        <v>82</v>
      </c>
      <c r="D59" s="566"/>
      <c r="E59" s="198"/>
      <c r="F59" s="198"/>
      <c r="G59" s="185"/>
      <c r="H59" s="315"/>
      <c r="I59" s="198"/>
      <c r="J59" s="304">
        <v>599</v>
      </c>
      <c r="K59" s="311">
        <v>1</v>
      </c>
      <c r="L59" s="625">
        <v>82700</v>
      </c>
      <c r="M59" s="534">
        <f>M58</f>
        <v>86000</v>
      </c>
      <c r="N59" s="315">
        <f t="shared" si="11"/>
        <v>1.04</v>
      </c>
      <c r="O59" s="532">
        <v>1.1000000000000001</v>
      </c>
      <c r="P59" s="198">
        <f t="shared" si="10"/>
        <v>1135200.0000000002</v>
      </c>
      <c r="Q59" s="529"/>
      <c r="R59" s="315"/>
      <c r="S59" s="315"/>
      <c r="T59" s="315"/>
      <c r="U59" s="315"/>
      <c r="V59" s="315"/>
      <c r="W59" s="318"/>
      <c r="X59" s="593">
        <f t="shared" si="1"/>
        <v>1135200.0000000002</v>
      </c>
      <c r="Z59" s="184"/>
      <c r="AA59" s="184"/>
      <c r="AB59" s="513"/>
      <c r="AC59" s="513"/>
      <c r="AD59" s="513"/>
      <c r="AE59" s="513"/>
      <c r="AF59" s="184"/>
      <c r="AG59" s="184"/>
      <c r="AH59" s="184"/>
      <c r="AI59" s="514"/>
      <c r="AJ59" s="514"/>
    </row>
    <row r="60" spans="1:36" s="196" customFormat="1" ht="18.75" customHeight="1" x14ac:dyDescent="0.2">
      <c r="A60" s="1133"/>
      <c r="B60" s="1074"/>
      <c r="C60" s="557" t="s">
        <v>81</v>
      </c>
      <c r="D60" s="566"/>
      <c r="E60" s="198"/>
      <c r="F60" s="198"/>
      <c r="G60" s="185"/>
      <c r="H60" s="315"/>
      <c r="I60" s="198"/>
      <c r="J60" s="304">
        <v>309</v>
      </c>
      <c r="K60" s="311">
        <v>1</v>
      </c>
      <c r="L60" s="625">
        <v>66200</v>
      </c>
      <c r="M60" s="534">
        <v>68850</v>
      </c>
      <c r="N60" s="315">
        <f t="shared" si="11"/>
        <v>1.04</v>
      </c>
      <c r="O60" s="532">
        <v>1.1000000000000001</v>
      </c>
      <c r="P60" s="198">
        <f t="shared" si="10"/>
        <v>908820</v>
      </c>
      <c r="Q60" s="529"/>
      <c r="R60" s="315"/>
      <c r="S60" s="315"/>
      <c r="T60" s="315"/>
      <c r="U60" s="315"/>
      <c r="V60" s="315"/>
      <c r="W60" s="318"/>
      <c r="X60" s="593">
        <f t="shared" si="1"/>
        <v>908820</v>
      </c>
      <c r="Z60" s="184"/>
      <c r="AA60" s="184"/>
      <c r="AB60" s="513"/>
      <c r="AC60" s="513"/>
      <c r="AD60" s="513"/>
      <c r="AE60" s="513"/>
      <c r="AF60" s="184"/>
      <c r="AG60" s="184"/>
      <c r="AH60" s="184"/>
      <c r="AI60" s="514"/>
      <c r="AJ60" s="514"/>
    </row>
    <row r="61" spans="1:36" s="196" customFormat="1" ht="18.75" customHeight="1" x14ac:dyDescent="0.2">
      <c r="A61" s="1131">
        <v>8</v>
      </c>
      <c r="B61" s="1073" t="s">
        <v>80</v>
      </c>
      <c r="C61" s="557" t="s">
        <v>79</v>
      </c>
      <c r="D61" s="566"/>
      <c r="E61" s="198"/>
      <c r="F61" s="198"/>
      <c r="G61" s="185"/>
      <c r="H61" s="315"/>
      <c r="I61" s="198"/>
      <c r="J61" s="304">
        <v>1188</v>
      </c>
      <c r="K61" s="311">
        <v>1</v>
      </c>
      <c r="L61" s="625">
        <v>93700</v>
      </c>
      <c r="M61" s="534">
        <f>M57</f>
        <v>97450</v>
      </c>
      <c r="N61" s="315">
        <f t="shared" si="11"/>
        <v>1.04</v>
      </c>
      <c r="O61" s="532">
        <v>1.1000000000000001</v>
      </c>
      <c r="P61" s="198">
        <f t="shared" si="10"/>
        <v>1286340.0000000002</v>
      </c>
      <c r="Q61" s="529"/>
      <c r="R61" s="315"/>
      <c r="S61" s="315"/>
      <c r="T61" s="315"/>
      <c r="U61" s="315"/>
      <c r="V61" s="315"/>
      <c r="W61" s="318"/>
      <c r="X61" s="593">
        <f t="shared" si="1"/>
        <v>1286340.0000000002</v>
      </c>
      <c r="Z61" s="184"/>
      <c r="AA61" s="184"/>
      <c r="AB61" s="513"/>
      <c r="AC61" s="513"/>
      <c r="AD61" s="513"/>
      <c r="AE61" s="513"/>
      <c r="AF61" s="184"/>
      <c r="AG61" s="184"/>
      <c r="AH61" s="184"/>
      <c r="AI61" s="514"/>
      <c r="AJ61" s="514"/>
    </row>
    <row r="62" spans="1:36" s="196" customFormat="1" ht="18.75" customHeight="1" x14ac:dyDescent="0.2">
      <c r="A62" s="1133"/>
      <c r="B62" s="1074"/>
      <c r="C62" s="557" t="s">
        <v>78</v>
      </c>
      <c r="D62" s="566" t="s">
        <v>185</v>
      </c>
      <c r="E62" s="198">
        <v>1</v>
      </c>
      <c r="F62" s="198">
        <f>F55</f>
        <v>71700</v>
      </c>
      <c r="G62" s="185">
        <f>G55</f>
        <v>74570</v>
      </c>
      <c r="H62" s="315">
        <f>H55</f>
        <v>1.04</v>
      </c>
      <c r="I62" s="198">
        <f>G62*E62*12</f>
        <v>894840</v>
      </c>
      <c r="J62" s="304"/>
      <c r="K62" s="311"/>
      <c r="L62" s="199"/>
      <c r="M62" s="200"/>
      <c r="N62" s="315"/>
      <c r="O62" s="315"/>
      <c r="P62" s="198"/>
      <c r="Q62" s="529"/>
      <c r="R62" s="315"/>
      <c r="S62" s="315"/>
      <c r="T62" s="315"/>
      <c r="U62" s="315"/>
      <c r="V62" s="315"/>
      <c r="W62" s="318"/>
      <c r="X62" s="593">
        <f t="shared" si="1"/>
        <v>894840</v>
      </c>
      <c r="Z62" s="184"/>
      <c r="AA62" s="184"/>
      <c r="AB62" s="513"/>
      <c r="AC62" s="513"/>
      <c r="AD62" s="513"/>
      <c r="AE62" s="513"/>
      <c r="AF62" s="184"/>
      <c r="AG62" s="184"/>
      <c r="AH62" s="184"/>
      <c r="AI62" s="514"/>
      <c r="AJ62" s="514"/>
    </row>
    <row r="63" spans="1:36" s="196" customFormat="1" ht="18.75" customHeight="1" x14ac:dyDescent="0.2">
      <c r="A63" s="182">
        <v>9</v>
      </c>
      <c r="B63" s="462" t="s">
        <v>77</v>
      </c>
      <c r="C63" s="557" t="s">
        <v>174</v>
      </c>
      <c r="D63" s="566"/>
      <c r="E63" s="198"/>
      <c r="F63" s="198"/>
      <c r="G63" s="185"/>
      <c r="H63" s="315"/>
      <c r="I63" s="198"/>
      <c r="J63" s="304">
        <v>1412</v>
      </c>
      <c r="K63" s="311">
        <v>1</v>
      </c>
      <c r="L63" s="625">
        <v>93700</v>
      </c>
      <c r="M63" s="534">
        <f>M61</f>
        <v>97450</v>
      </c>
      <c r="N63" s="315">
        <f>N61</f>
        <v>1.04</v>
      </c>
      <c r="O63" s="532">
        <v>1.1000000000000001</v>
      </c>
      <c r="P63" s="198">
        <f>M63*K63*O63*12</f>
        <v>1286340.0000000002</v>
      </c>
      <c r="Q63" s="529"/>
      <c r="R63" s="315"/>
      <c r="S63" s="315"/>
      <c r="T63" s="315"/>
      <c r="U63" s="315"/>
      <c r="V63" s="315"/>
      <c r="W63" s="318"/>
      <c r="X63" s="593">
        <f t="shared" si="1"/>
        <v>1286340.0000000002</v>
      </c>
      <c r="Z63" s="184"/>
      <c r="AA63" s="184"/>
      <c r="AB63" s="513"/>
      <c r="AC63" s="513"/>
      <c r="AD63" s="513"/>
      <c r="AE63" s="513"/>
      <c r="AF63" s="184"/>
      <c r="AG63" s="184"/>
      <c r="AH63" s="184"/>
      <c r="AI63" s="514"/>
      <c r="AJ63" s="514"/>
    </row>
    <row r="64" spans="1:36" s="196" customFormat="1" ht="18.75" customHeight="1" x14ac:dyDescent="0.2">
      <c r="A64" s="182">
        <v>10</v>
      </c>
      <c r="B64" s="462" t="s">
        <v>76</v>
      </c>
      <c r="C64" s="557" t="s">
        <v>175</v>
      </c>
      <c r="D64" s="566"/>
      <c r="E64" s="198"/>
      <c r="F64" s="198"/>
      <c r="G64" s="185"/>
      <c r="H64" s="315"/>
      <c r="I64" s="198"/>
      <c r="J64" s="304">
        <v>875</v>
      </c>
      <c r="K64" s="311">
        <v>1</v>
      </c>
      <c r="L64" s="625">
        <v>88200</v>
      </c>
      <c r="M64" s="534">
        <f>M56</f>
        <v>91730</v>
      </c>
      <c r="N64" s="315">
        <f>N63</f>
        <v>1.04</v>
      </c>
      <c r="O64" s="532">
        <v>1</v>
      </c>
      <c r="P64" s="198">
        <f>M64*K64*O64*12</f>
        <v>1100760</v>
      </c>
      <c r="Q64" s="529"/>
      <c r="R64" s="315"/>
      <c r="S64" s="315"/>
      <c r="T64" s="315"/>
      <c r="U64" s="315"/>
      <c r="V64" s="315"/>
      <c r="W64" s="318"/>
      <c r="X64" s="593">
        <f t="shared" si="1"/>
        <v>1100760</v>
      </c>
      <c r="Z64" s="184"/>
      <c r="AA64" s="184"/>
      <c r="AB64" s="513"/>
      <c r="AC64" s="513"/>
      <c r="AD64" s="513"/>
      <c r="AE64" s="513"/>
      <c r="AF64" s="184"/>
      <c r="AG64" s="184"/>
      <c r="AH64" s="184"/>
      <c r="AI64" s="514"/>
      <c r="AJ64" s="514"/>
    </row>
    <row r="65" spans="1:36" s="196" customFormat="1" ht="18.75" customHeight="1" x14ac:dyDescent="0.2">
      <c r="A65" s="1122">
        <v>11</v>
      </c>
      <c r="B65" s="1042" t="s">
        <v>75</v>
      </c>
      <c r="C65" s="557" t="s">
        <v>74</v>
      </c>
      <c r="D65" s="566"/>
      <c r="E65" s="198"/>
      <c r="F65" s="198"/>
      <c r="G65" s="185"/>
      <c r="H65" s="315"/>
      <c r="I65" s="198"/>
      <c r="J65" s="304">
        <v>516</v>
      </c>
      <c r="K65" s="311">
        <v>1</v>
      </c>
      <c r="L65" s="625">
        <v>82700</v>
      </c>
      <c r="M65" s="534">
        <f>M59</f>
        <v>86000</v>
      </c>
      <c r="N65" s="315">
        <f>N64</f>
        <v>1.04</v>
      </c>
      <c r="O65" s="532">
        <v>1.1000000000000001</v>
      </c>
      <c r="P65" s="198">
        <f>M65*K65*O65*12</f>
        <v>1135200.0000000002</v>
      </c>
      <c r="Q65" s="529"/>
      <c r="R65" s="315"/>
      <c r="S65" s="315"/>
      <c r="T65" s="315"/>
      <c r="U65" s="315"/>
      <c r="V65" s="315"/>
      <c r="W65" s="318"/>
      <c r="X65" s="593">
        <f t="shared" si="1"/>
        <v>1135200.0000000002</v>
      </c>
      <c r="Z65" s="184"/>
      <c r="AA65" s="184"/>
      <c r="AB65" s="513"/>
      <c r="AC65" s="513"/>
      <c r="AD65" s="513"/>
      <c r="AE65" s="513"/>
      <c r="AF65" s="184"/>
      <c r="AG65" s="184"/>
      <c r="AH65" s="184"/>
      <c r="AI65" s="514"/>
      <c r="AJ65" s="514"/>
    </row>
    <row r="66" spans="1:36" s="196" customFormat="1" ht="18.75" customHeight="1" x14ac:dyDescent="0.2">
      <c r="A66" s="1122"/>
      <c r="B66" s="1042"/>
      <c r="C66" s="557" t="s">
        <v>73</v>
      </c>
      <c r="D66" s="566" t="s">
        <v>185</v>
      </c>
      <c r="E66" s="198">
        <v>1</v>
      </c>
      <c r="F66" s="198">
        <f>F62</f>
        <v>71700</v>
      </c>
      <c r="G66" s="185">
        <f>G62</f>
        <v>74570</v>
      </c>
      <c r="H66" s="315">
        <f>H62</f>
        <v>1.04</v>
      </c>
      <c r="I66" s="198">
        <f>G66*E66*12</f>
        <v>894840</v>
      </c>
      <c r="J66" s="304"/>
      <c r="K66" s="311"/>
      <c r="L66" s="199"/>
      <c r="M66" s="200"/>
      <c r="N66" s="315"/>
      <c r="O66" s="315"/>
      <c r="P66" s="198"/>
      <c r="Q66" s="529"/>
      <c r="R66" s="315"/>
      <c r="S66" s="315"/>
      <c r="T66" s="315"/>
      <c r="U66" s="315"/>
      <c r="V66" s="315"/>
      <c r="W66" s="318"/>
      <c r="X66" s="593">
        <f t="shared" si="1"/>
        <v>894840</v>
      </c>
      <c r="Z66" s="184"/>
      <c r="AA66" s="184"/>
      <c r="AB66" s="513"/>
      <c r="AC66" s="513"/>
      <c r="AD66" s="513"/>
      <c r="AE66" s="513"/>
      <c r="AF66" s="184"/>
      <c r="AG66" s="184"/>
      <c r="AH66" s="184"/>
      <c r="AI66" s="514"/>
      <c r="AJ66" s="514"/>
    </row>
    <row r="67" spans="1:36" s="196" customFormat="1" ht="18.75" customHeight="1" x14ac:dyDescent="0.2">
      <c r="A67" s="1122">
        <v>12</v>
      </c>
      <c r="B67" s="1042" t="s">
        <v>72</v>
      </c>
      <c r="C67" s="557" t="s">
        <v>71</v>
      </c>
      <c r="D67" s="566"/>
      <c r="E67" s="198"/>
      <c r="F67" s="198"/>
      <c r="G67" s="185"/>
      <c r="H67" s="315"/>
      <c r="I67" s="198"/>
      <c r="J67" s="304">
        <v>644</v>
      </c>
      <c r="K67" s="311">
        <v>1</v>
      </c>
      <c r="L67" s="625">
        <v>88200</v>
      </c>
      <c r="M67" s="534">
        <f>M64</f>
        <v>91730</v>
      </c>
      <c r="N67" s="315">
        <f>N65</f>
        <v>1.04</v>
      </c>
      <c r="O67" s="532">
        <v>1.1000000000000001</v>
      </c>
      <c r="P67" s="198">
        <f t="shared" ref="P67:P72" si="12">M67*K67*O67*12</f>
        <v>1210836.0000000002</v>
      </c>
      <c r="Q67" s="529"/>
      <c r="R67" s="315"/>
      <c r="S67" s="315"/>
      <c r="T67" s="315"/>
      <c r="U67" s="315"/>
      <c r="V67" s="315"/>
      <c r="W67" s="318"/>
      <c r="X67" s="593">
        <f t="shared" si="1"/>
        <v>1210836.0000000002</v>
      </c>
      <c r="Z67" s="184"/>
      <c r="AA67" s="184"/>
      <c r="AB67" s="513"/>
      <c r="AC67" s="513"/>
      <c r="AD67" s="513"/>
      <c r="AE67" s="513"/>
      <c r="AF67" s="184"/>
      <c r="AG67" s="184"/>
      <c r="AH67" s="184"/>
      <c r="AI67" s="514"/>
      <c r="AJ67" s="514"/>
    </row>
    <row r="68" spans="1:36" s="196" customFormat="1" ht="18.75" customHeight="1" x14ac:dyDescent="0.2">
      <c r="A68" s="1122"/>
      <c r="B68" s="1042"/>
      <c r="C68" s="557" t="s">
        <v>182</v>
      </c>
      <c r="D68" s="566"/>
      <c r="E68" s="198"/>
      <c r="F68" s="198"/>
      <c r="G68" s="185"/>
      <c r="H68" s="315"/>
      <c r="I68" s="198"/>
      <c r="J68" s="304">
        <f>564+16</f>
        <v>580</v>
      </c>
      <c r="K68" s="311">
        <v>1</v>
      </c>
      <c r="L68" s="625">
        <v>82700</v>
      </c>
      <c r="M68" s="534">
        <f>M65</f>
        <v>86000</v>
      </c>
      <c r="N68" s="315">
        <f>N67</f>
        <v>1.04</v>
      </c>
      <c r="O68" s="315">
        <v>1</v>
      </c>
      <c r="P68" s="198">
        <f t="shared" si="12"/>
        <v>1032000</v>
      </c>
      <c r="Q68" s="529"/>
      <c r="R68" s="315"/>
      <c r="S68" s="315"/>
      <c r="T68" s="315"/>
      <c r="U68" s="315"/>
      <c r="V68" s="315"/>
      <c r="W68" s="318"/>
      <c r="X68" s="593">
        <f t="shared" si="1"/>
        <v>1032000</v>
      </c>
      <c r="Z68" s="184"/>
      <c r="AA68" s="184"/>
      <c r="AB68" s="513"/>
      <c r="AC68" s="513"/>
      <c r="AD68" s="513"/>
      <c r="AE68" s="513"/>
      <c r="AF68" s="184"/>
      <c r="AG68" s="184"/>
      <c r="AH68" s="184"/>
      <c r="AI68" s="514"/>
      <c r="AJ68" s="514"/>
    </row>
    <row r="69" spans="1:36" s="196" customFormat="1" ht="18.75" customHeight="1" x14ac:dyDescent="0.2">
      <c r="A69" s="1122">
        <v>13</v>
      </c>
      <c r="B69" s="1042" t="s">
        <v>69</v>
      </c>
      <c r="C69" s="559" t="s">
        <v>68</v>
      </c>
      <c r="D69" s="317"/>
      <c r="E69" s="199"/>
      <c r="F69" s="199"/>
      <c r="G69" s="200"/>
      <c r="H69" s="315"/>
      <c r="I69" s="198"/>
      <c r="J69" s="304">
        <v>403</v>
      </c>
      <c r="K69" s="311">
        <v>1</v>
      </c>
      <c r="L69" s="625">
        <v>77200</v>
      </c>
      <c r="M69" s="534">
        <v>80290</v>
      </c>
      <c r="N69" s="315">
        <f t="shared" ref="N69:N72" si="13">N68</f>
        <v>1.04</v>
      </c>
      <c r="O69" s="315">
        <v>1</v>
      </c>
      <c r="P69" s="198">
        <f t="shared" si="12"/>
        <v>963480</v>
      </c>
      <c r="Q69" s="529"/>
      <c r="R69" s="315"/>
      <c r="S69" s="315"/>
      <c r="T69" s="315"/>
      <c r="U69" s="315"/>
      <c r="V69" s="315"/>
      <c r="W69" s="318"/>
      <c r="X69" s="593">
        <f t="shared" si="1"/>
        <v>963480</v>
      </c>
      <c r="Z69" s="184"/>
      <c r="AA69" s="184"/>
      <c r="AB69" s="513"/>
      <c r="AC69" s="513"/>
      <c r="AD69" s="513"/>
      <c r="AE69" s="513"/>
      <c r="AF69" s="184"/>
      <c r="AG69" s="184"/>
      <c r="AH69" s="184"/>
      <c r="AI69" s="514"/>
      <c r="AJ69" s="514"/>
    </row>
    <row r="70" spans="1:36" s="196" customFormat="1" ht="18.75" customHeight="1" x14ac:dyDescent="0.2">
      <c r="A70" s="1122"/>
      <c r="B70" s="1042"/>
      <c r="C70" s="559" t="s">
        <v>67</v>
      </c>
      <c r="D70" s="317"/>
      <c r="E70" s="199"/>
      <c r="F70" s="199"/>
      <c r="G70" s="200"/>
      <c r="H70" s="315"/>
      <c r="I70" s="198"/>
      <c r="J70" s="304">
        <v>599</v>
      </c>
      <c r="K70" s="311">
        <v>1</v>
      </c>
      <c r="L70" s="625">
        <v>82700</v>
      </c>
      <c r="M70" s="534">
        <f>M68</f>
        <v>86000</v>
      </c>
      <c r="N70" s="315">
        <f t="shared" si="13"/>
        <v>1.04</v>
      </c>
      <c r="O70" s="532">
        <v>1.1000000000000001</v>
      </c>
      <c r="P70" s="198">
        <f t="shared" si="12"/>
        <v>1135200.0000000002</v>
      </c>
      <c r="Q70" s="529"/>
      <c r="R70" s="315"/>
      <c r="S70" s="315"/>
      <c r="T70" s="315"/>
      <c r="U70" s="315"/>
      <c r="V70" s="315"/>
      <c r="W70" s="318"/>
      <c r="X70" s="593">
        <f t="shared" si="1"/>
        <v>1135200.0000000002</v>
      </c>
      <c r="Z70" s="184"/>
      <c r="AA70" s="184"/>
      <c r="AB70" s="513"/>
      <c r="AC70" s="513"/>
      <c r="AD70" s="513"/>
      <c r="AE70" s="513"/>
      <c r="AF70" s="184"/>
      <c r="AG70" s="184"/>
      <c r="AH70" s="184"/>
      <c r="AI70" s="514"/>
      <c r="AJ70" s="514"/>
    </row>
    <row r="71" spans="1:36" s="196" customFormat="1" ht="18.75" customHeight="1" x14ac:dyDescent="0.2">
      <c r="A71" s="1131">
        <v>14</v>
      </c>
      <c r="B71" s="1073" t="s">
        <v>66</v>
      </c>
      <c r="C71" s="559" t="s">
        <v>65</v>
      </c>
      <c r="D71" s="317"/>
      <c r="E71" s="199"/>
      <c r="F71" s="199"/>
      <c r="G71" s="200"/>
      <c r="H71" s="315"/>
      <c r="I71" s="198"/>
      <c r="J71" s="304">
        <v>414</v>
      </c>
      <c r="K71" s="311">
        <v>1</v>
      </c>
      <c r="L71" s="625">
        <v>77200</v>
      </c>
      <c r="M71" s="534">
        <f>M69</f>
        <v>80290</v>
      </c>
      <c r="N71" s="315">
        <f t="shared" si="13"/>
        <v>1.04</v>
      </c>
      <c r="O71" s="532">
        <v>1.1000000000000001</v>
      </c>
      <c r="P71" s="198">
        <f t="shared" si="12"/>
        <v>1059828</v>
      </c>
      <c r="Q71" s="529"/>
      <c r="R71" s="315"/>
      <c r="S71" s="315"/>
      <c r="T71" s="315"/>
      <c r="U71" s="315"/>
      <c r="V71" s="315"/>
      <c r="W71" s="318"/>
      <c r="X71" s="593">
        <f t="shared" ref="X71:X134" si="14">I71+P71+W71</f>
        <v>1059828</v>
      </c>
      <c r="Z71" s="184"/>
      <c r="AA71" s="184"/>
      <c r="AB71" s="513"/>
      <c r="AC71" s="513"/>
      <c r="AD71" s="513"/>
      <c r="AE71" s="513"/>
      <c r="AF71" s="184"/>
      <c r="AG71" s="184"/>
      <c r="AH71" s="184"/>
      <c r="AI71" s="514"/>
      <c r="AJ71" s="514"/>
    </row>
    <row r="72" spans="1:36" s="196" customFormat="1" ht="18.75" customHeight="1" x14ac:dyDescent="0.2">
      <c r="A72" s="1132"/>
      <c r="B72" s="1077"/>
      <c r="C72" s="559" t="s">
        <v>64</v>
      </c>
      <c r="D72" s="317"/>
      <c r="E72" s="199"/>
      <c r="F72" s="199"/>
      <c r="G72" s="200"/>
      <c r="H72" s="315"/>
      <c r="I72" s="198"/>
      <c r="J72" s="304">
        <v>82</v>
      </c>
      <c r="K72" s="311">
        <v>1</v>
      </c>
      <c r="L72" s="625">
        <v>66200</v>
      </c>
      <c r="M72" s="534">
        <f>M60</f>
        <v>68850</v>
      </c>
      <c r="N72" s="315">
        <f t="shared" si="13"/>
        <v>1.04</v>
      </c>
      <c r="O72" s="532">
        <v>1.1000000000000001</v>
      </c>
      <c r="P72" s="198">
        <f t="shared" si="12"/>
        <v>908820</v>
      </c>
      <c r="Q72" s="529"/>
      <c r="R72" s="315"/>
      <c r="S72" s="315"/>
      <c r="T72" s="315"/>
      <c r="U72" s="315"/>
      <c r="V72" s="315"/>
      <c r="W72" s="318"/>
      <c r="X72" s="593">
        <f t="shared" si="14"/>
        <v>908820</v>
      </c>
      <c r="Z72" s="184"/>
      <c r="AA72" s="184"/>
      <c r="AB72" s="513"/>
      <c r="AC72" s="513"/>
      <c r="AD72" s="513"/>
      <c r="AE72" s="513"/>
      <c r="AF72" s="184"/>
      <c r="AG72" s="184"/>
      <c r="AH72" s="184"/>
      <c r="AI72" s="514"/>
      <c r="AJ72" s="514"/>
    </row>
    <row r="73" spans="1:36" s="196" customFormat="1" ht="18.75" customHeight="1" x14ac:dyDescent="0.2">
      <c r="A73" s="1132"/>
      <c r="B73" s="1077"/>
      <c r="C73" s="559" t="s">
        <v>63</v>
      </c>
      <c r="D73" s="567" t="s">
        <v>186</v>
      </c>
      <c r="E73" s="199">
        <v>1</v>
      </c>
      <c r="F73" s="199">
        <f>F24</f>
        <v>66200</v>
      </c>
      <c r="G73" s="185">
        <f>G42</f>
        <v>68850</v>
      </c>
      <c r="H73" s="315">
        <f>H66</f>
        <v>1.04</v>
      </c>
      <c r="I73" s="198">
        <f>G73*E73*12</f>
        <v>826200</v>
      </c>
      <c r="J73" s="304"/>
      <c r="K73" s="311"/>
      <c r="L73" s="199"/>
      <c r="M73" s="200"/>
      <c r="N73" s="315"/>
      <c r="O73" s="315"/>
      <c r="P73" s="198"/>
      <c r="Q73" s="529"/>
      <c r="R73" s="315"/>
      <c r="S73" s="315"/>
      <c r="T73" s="315"/>
      <c r="U73" s="315"/>
      <c r="V73" s="315"/>
      <c r="W73" s="318"/>
      <c r="X73" s="593">
        <f t="shared" si="14"/>
        <v>826200</v>
      </c>
      <c r="Z73" s="184"/>
      <c r="AA73" s="184"/>
      <c r="AB73" s="513"/>
      <c r="AC73" s="513"/>
      <c r="AD73" s="513"/>
      <c r="AE73" s="513"/>
      <c r="AF73" s="184"/>
      <c r="AG73" s="184"/>
      <c r="AH73" s="184"/>
      <c r="AI73" s="514"/>
      <c r="AJ73" s="514"/>
    </row>
    <row r="74" spans="1:36" s="196" customFormat="1" ht="18.75" customHeight="1" x14ac:dyDescent="0.2">
      <c r="A74" s="1132"/>
      <c r="B74" s="1077"/>
      <c r="C74" s="559" t="s">
        <v>62</v>
      </c>
      <c r="D74" s="567" t="s">
        <v>186</v>
      </c>
      <c r="E74" s="199">
        <v>1</v>
      </c>
      <c r="F74" s="199">
        <f t="shared" ref="F74:H75" si="15">F73</f>
        <v>66200</v>
      </c>
      <c r="G74" s="185">
        <f t="shared" si="15"/>
        <v>68850</v>
      </c>
      <c r="H74" s="315">
        <f t="shared" si="15"/>
        <v>1.04</v>
      </c>
      <c r="I74" s="198">
        <f>G74*E74*12</f>
        <v>826200</v>
      </c>
      <c r="J74" s="304"/>
      <c r="K74" s="311"/>
      <c r="L74" s="199"/>
      <c r="M74" s="200"/>
      <c r="N74" s="315"/>
      <c r="O74" s="315"/>
      <c r="P74" s="198"/>
      <c r="Q74" s="529"/>
      <c r="R74" s="315"/>
      <c r="S74" s="315"/>
      <c r="T74" s="315"/>
      <c r="U74" s="315"/>
      <c r="V74" s="315"/>
      <c r="W74" s="318"/>
      <c r="X74" s="593">
        <f t="shared" si="14"/>
        <v>826200</v>
      </c>
      <c r="Z74" s="184"/>
      <c r="AA74" s="184"/>
      <c r="AB74" s="513"/>
      <c r="AC74" s="513"/>
      <c r="AD74" s="513"/>
      <c r="AE74" s="513"/>
      <c r="AF74" s="184"/>
      <c r="AG74" s="184"/>
      <c r="AH74" s="184"/>
      <c r="AI74" s="514"/>
      <c r="AJ74" s="514"/>
    </row>
    <row r="75" spans="1:36" s="196" customFormat="1" ht="18.75" customHeight="1" x14ac:dyDescent="0.2">
      <c r="A75" s="1133"/>
      <c r="B75" s="1074"/>
      <c r="C75" s="559" t="s">
        <v>61</v>
      </c>
      <c r="D75" s="567" t="s">
        <v>186</v>
      </c>
      <c r="E75" s="199">
        <v>1</v>
      </c>
      <c r="F75" s="199">
        <f t="shared" si="15"/>
        <v>66200</v>
      </c>
      <c r="G75" s="185">
        <f t="shared" si="15"/>
        <v>68850</v>
      </c>
      <c r="H75" s="315">
        <f t="shared" si="15"/>
        <v>1.04</v>
      </c>
      <c r="I75" s="198">
        <f>G75*E75*12</f>
        <v>826200</v>
      </c>
      <c r="J75" s="304"/>
      <c r="K75" s="311"/>
      <c r="L75" s="199"/>
      <c r="M75" s="200"/>
      <c r="N75" s="315"/>
      <c r="O75" s="315"/>
      <c r="P75" s="198"/>
      <c r="Q75" s="529"/>
      <c r="R75" s="315"/>
      <c r="S75" s="315"/>
      <c r="T75" s="315"/>
      <c r="U75" s="315"/>
      <c r="V75" s="315"/>
      <c r="W75" s="318"/>
      <c r="X75" s="593">
        <f t="shared" si="14"/>
        <v>826200</v>
      </c>
      <c r="Z75" s="184"/>
      <c r="AA75" s="184"/>
      <c r="AB75" s="513"/>
      <c r="AC75" s="513"/>
      <c r="AD75" s="513"/>
      <c r="AE75" s="513"/>
      <c r="AF75" s="184"/>
      <c r="AG75" s="184"/>
      <c r="AH75" s="184"/>
      <c r="AI75" s="514"/>
      <c r="AJ75" s="514"/>
    </row>
    <row r="76" spans="1:36" s="196" customFormat="1" ht="18.75" customHeight="1" x14ac:dyDescent="0.2">
      <c r="A76" s="1131">
        <v>15</v>
      </c>
      <c r="B76" s="1073" t="s">
        <v>60</v>
      </c>
      <c r="C76" s="559" t="s">
        <v>59</v>
      </c>
      <c r="D76" s="317"/>
      <c r="E76" s="199"/>
      <c r="F76" s="199"/>
      <c r="G76" s="200"/>
      <c r="H76" s="315"/>
      <c r="I76" s="198"/>
      <c r="J76" s="304">
        <f>776+43</f>
        <v>819</v>
      </c>
      <c r="K76" s="311">
        <v>1</v>
      </c>
      <c r="L76" s="625">
        <v>88200</v>
      </c>
      <c r="M76" s="534">
        <f>M67</f>
        <v>91730</v>
      </c>
      <c r="N76" s="315">
        <f>N72</f>
        <v>1.04</v>
      </c>
      <c r="O76" s="532">
        <v>1.1000000000000001</v>
      </c>
      <c r="P76" s="198">
        <f>M76*K76*O76*12</f>
        <v>1210836.0000000002</v>
      </c>
      <c r="Q76" s="529"/>
      <c r="R76" s="315"/>
      <c r="S76" s="315"/>
      <c r="T76" s="315"/>
      <c r="U76" s="315"/>
      <c r="V76" s="315"/>
      <c r="W76" s="318"/>
      <c r="X76" s="593">
        <f t="shared" si="14"/>
        <v>1210836.0000000002</v>
      </c>
      <c r="Z76" s="184"/>
      <c r="AA76" s="184"/>
      <c r="AB76" s="513"/>
      <c r="AC76" s="513"/>
      <c r="AD76" s="513"/>
      <c r="AE76" s="513"/>
      <c r="AF76" s="184"/>
      <c r="AG76" s="184"/>
      <c r="AH76" s="184"/>
      <c r="AI76" s="514"/>
      <c r="AJ76" s="514"/>
    </row>
    <row r="77" spans="1:36" s="196" customFormat="1" ht="18.75" customHeight="1" x14ac:dyDescent="0.2">
      <c r="A77" s="1132"/>
      <c r="B77" s="1077"/>
      <c r="C77" s="559" t="s">
        <v>58</v>
      </c>
      <c r="D77" s="317"/>
      <c r="E77" s="199"/>
      <c r="F77" s="199"/>
      <c r="G77" s="200"/>
      <c r="H77" s="315"/>
      <c r="I77" s="198"/>
      <c r="J77" s="304">
        <v>52</v>
      </c>
      <c r="K77" s="311">
        <v>1</v>
      </c>
      <c r="L77" s="625">
        <v>66200</v>
      </c>
      <c r="M77" s="534">
        <f>M72</f>
        <v>68850</v>
      </c>
      <c r="N77" s="315">
        <f>N76</f>
        <v>1.04</v>
      </c>
      <c r="O77" s="315">
        <v>1</v>
      </c>
      <c r="P77" s="198">
        <f>M77*K77*O77*12</f>
        <v>826200</v>
      </c>
      <c r="Q77" s="529"/>
      <c r="R77" s="315"/>
      <c r="S77" s="315"/>
      <c r="T77" s="315"/>
      <c r="U77" s="315"/>
      <c r="V77" s="315"/>
      <c r="W77" s="318"/>
      <c r="X77" s="593">
        <f t="shared" si="14"/>
        <v>826200</v>
      </c>
      <c r="Z77" s="184"/>
      <c r="AA77" s="184"/>
      <c r="AB77" s="513"/>
      <c r="AC77" s="513"/>
      <c r="AD77" s="513"/>
      <c r="AE77" s="513"/>
      <c r="AF77" s="184"/>
      <c r="AG77" s="184"/>
      <c r="AH77" s="184"/>
      <c r="AI77" s="514"/>
      <c r="AJ77" s="514"/>
    </row>
    <row r="78" spans="1:36" s="196" customFormat="1" ht="18.75" customHeight="1" x14ac:dyDescent="0.2">
      <c r="A78" s="1132"/>
      <c r="B78" s="1077"/>
      <c r="C78" s="559" t="s">
        <v>57</v>
      </c>
      <c r="D78" s="317" t="s">
        <v>185</v>
      </c>
      <c r="E78" s="199">
        <v>1</v>
      </c>
      <c r="F78" s="199">
        <f>F66</f>
        <v>71700</v>
      </c>
      <c r="G78" s="185">
        <f>G66</f>
        <v>74570</v>
      </c>
      <c r="H78" s="315">
        <f>H75</f>
        <v>1.04</v>
      </c>
      <c r="I78" s="198">
        <f>G78*E78*12</f>
        <v>894840</v>
      </c>
      <c r="J78" s="304"/>
      <c r="K78" s="311"/>
      <c r="L78" s="199"/>
      <c r="M78" s="200"/>
      <c r="N78" s="315"/>
      <c r="O78" s="315"/>
      <c r="P78" s="198"/>
      <c r="Q78" s="529"/>
      <c r="R78" s="315"/>
      <c r="S78" s="315"/>
      <c r="T78" s="315"/>
      <c r="U78" s="315"/>
      <c r="V78" s="315"/>
      <c r="W78" s="318"/>
      <c r="X78" s="593">
        <f t="shared" si="14"/>
        <v>894840</v>
      </c>
      <c r="Z78" s="184"/>
      <c r="AA78" s="184"/>
      <c r="AB78" s="513"/>
      <c r="AC78" s="513"/>
      <c r="AD78" s="513"/>
      <c r="AE78" s="513"/>
      <c r="AF78" s="184"/>
      <c r="AG78" s="184"/>
      <c r="AH78" s="184"/>
      <c r="AI78" s="514"/>
      <c r="AJ78" s="514"/>
    </row>
    <row r="79" spans="1:36" s="196" customFormat="1" ht="18.75" customHeight="1" x14ac:dyDescent="0.2">
      <c r="A79" s="1133"/>
      <c r="B79" s="1074"/>
      <c r="C79" s="559" t="s">
        <v>56</v>
      </c>
      <c r="D79" s="317" t="s">
        <v>185</v>
      </c>
      <c r="E79" s="199">
        <v>1</v>
      </c>
      <c r="F79" s="199">
        <f>F66</f>
        <v>71700</v>
      </c>
      <c r="G79" s="185">
        <f>G78</f>
        <v>74570</v>
      </c>
      <c r="H79" s="315">
        <f>H78</f>
        <v>1.04</v>
      </c>
      <c r="I79" s="198">
        <f>G79*E79*12</f>
        <v>894840</v>
      </c>
      <c r="J79" s="304"/>
      <c r="K79" s="311"/>
      <c r="L79" s="199"/>
      <c r="M79" s="200"/>
      <c r="N79" s="315"/>
      <c r="O79" s="315"/>
      <c r="P79" s="198"/>
      <c r="Q79" s="529"/>
      <c r="R79" s="315"/>
      <c r="S79" s="315"/>
      <c r="T79" s="315"/>
      <c r="U79" s="315"/>
      <c r="V79" s="315"/>
      <c r="W79" s="318"/>
      <c r="X79" s="593">
        <f t="shared" si="14"/>
        <v>894840</v>
      </c>
      <c r="Z79" s="184"/>
      <c r="AA79" s="184"/>
      <c r="AB79" s="513"/>
      <c r="AC79" s="513"/>
      <c r="AD79" s="513"/>
      <c r="AE79" s="513"/>
      <c r="AF79" s="184"/>
      <c r="AG79" s="184"/>
      <c r="AH79" s="184"/>
      <c r="AI79" s="514"/>
      <c r="AJ79" s="514"/>
    </row>
    <row r="80" spans="1:36" s="196" customFormat="1" ht="18.75" customHeight="1" x14ac:dyDescent="0.2">
      <c r="A80" s="1131">
        <v>16</v>
      </c>
      <c r="B80" s="1073" t="s">
        <v>55</v>
      </c>
      <c r="C80" s="559" t="s">
        <v>54</v>
      </c>
      <c r="D80" s="317"/>
      <c r="E80" s="199"/>
      <c r="F80" s="199"/>
      <c r="G80" s="200"/>
      <c r="H80" s="315"/>
      <c r="I80" s="198"/>
      <c r="J80" s="304">
        <v>658</v>
      </c>
      <c r="K80" s="311">
        <v>1</v>
      </c>
      <c r="L80" s="625">
        <v>88200</v>
      </c>
      <c r="M80" s="534">
        <f>M67</f>
        <v>91730</v>
      </c>
      <c r="N80" s="315">
        <f>N77</f>
        <v>1.04</v>
      </c>
      <c r="O80" s="532">
        <v>1.1000000000000001</v>
      </c>
      <c r="P80" s="198">
        <f>M80*K80*O80*12</f>
        <v>1210836.0000000002</v>
      </c>
      <c r="Q80" s="529"/>
      <c r="R80" s="315"/>
      <c r="S80" s="315"/>
      <c r="T80" s="315"/>
      <c r="U80" s="315"/>
      <c r="V80" s="315"/>
      <c r="W80" s="318"/>
      <c r="X80" s="593">
        <f t="shared" si="14"/>
        <v>1210836.0000000002</v>
      </c>
      <c r="Z80" s="184"/>
      <c r="AA80" s="184"/>
      <c r="AB80" s="513"/>
      <c r="AC80" s="513"/>
      <c r="AD80" s="513"/>
      <c r="AE80" s="513"/>
      <c r="AF80" s="184"/>
      <c r="AG80" s="184"/>
      <c r="AH80" s="184"/>
      <c r="AI80" s="514"/>
      <c r="AJ80" s="514"/>
    </row>
    <row r="81" spans="1:36" s="196" customFormat="1" ht="18.75" customHeight="1" x14ac:dyDescent="0.2">
      <c r="A81" s="1132"/>
      <c r="B81" s="1077"/>
      <c r="C81" s="559" t="s">
        <v>53</v>
      </c>
      <c r="D81" s="317" t="s">
        <v>185</v>
      </c>
      <c r="E81" s="199">
        <v>1</v>
      </c>
      <c r="F81" s="199">
        <f>F79</f>
        <v>71700</v>
      </c>
      <c r="G81" s="185">
        <f>G79</f>
        <v>74570</v>
      </c>
      <c r="H81" s="315">
        <f>H79</f>
        <v>1.04</v>
      </c>
      <c r="I81" s="198">
        <f>G81*E81*12</f>
        <v>894840</v>
      </c>
      <c r="J81" s="304"/>
      <c r="K81" s="311"/>
      <c r="L81" s="199"/>
      <c r="M81" s="200"/>
      <c r="N81" s="315"/>
      <c r="O81" s="315"/>
      <c r="P81" s="198"/>
      <c r="Q81" s="529"/>
      <c r="R81" s="315"/>
      <c r="S81" s="315"/>
      <c r="T81" s="315"/>
      <c r="U81" s="315"/>
      <c r="V81" s="315"/>
      <c r="W81" s="318"/>
      <c r="X81" s="593">
        <f t="shared" si="14"/>
        <v>894840</v>
      </c>
      <c r="Z81" s="184"/>
      <c r="AA81" s="184"/>
      <c r="AB81" s="513"/>
      <c r="AC81" s="513"/>
      <c r="AD81" s="513"/>
      <c r="AE81" s="513"/>
      <c r="AF81" s="184"/>
      <c r="AG81" s="184"/>
      <c r="AH81" s="184"/>
      <c r="AI81" s="514"/>
      <c r="AJ81" s="514"/>
    </row>
    <row r="82" spans="1:36" s="196" customFormat="1" ht="18.75" customHeight="1" x14ac:dyDescent="0.2">
      <c r="A82" s="1132"/>
      <c r="B82" s="1077"/>
      <c r="C82" s="559" t="s">
        <v>243</v>
      </c>
      <c r="D82" s="567" t="s">
        <v>186</v>
      </c>
      <c r="E82" s="199">
        <v>1</v>
      </c>
      <c r="F82" s="199">
        <f>F75</f>
        <v>66200</v>
      </c>
      <c r="G82" s="185">
        <f>G75</f>
        <v>68850</v>
      </c>
      <c r="H82" s="315">
        <f>H81</f>
        <v>1.04</v>
      </c>
      <c r="I82" s="198">
        <f>G82*E82*12</f>
        <v>826200</v>
      </c>
      <c r="J82" s="304"/>
      <c r="K82" s="311"/>
      <c r="L82" s="199"/>
      <c r="M82" s="200"/>
      <c r="N82" s="315"/>
      <c r="O82" s="315"/>
      <c r="P82" s="198"/>
      <c r="Q82" s="529"/>
      <c r="R82" s="315"/>
      <c r="S82" s="315"/>
      <c r="T82" s="315"/>
      <c r="U82" s="315"/>
      <c r="V82" s="315"/>
      <c r="W82" s="318"/>
      <c r="X82" s="593">
        <f t="shared" si="14"/>
        <v>826200</v>
      </c>
      <c r="Z82" s="184"/>
      <c r="AA82" s="184"/>
      <c r="AB82" s="513"/>
      <c r="AC82" s="513"/>
      <c r="AD82" s="513"/>
      <c r="AE82" s="513"/>
      <c r="AF82" s="184"/>
      <c r="AG82" s="184"/>
      <c r="AH82" s="184"/>
      <c r="AI82" s="514"/>
      <c r="AJ82" s="514"/>
    </row>
    <row r="83" spans="1:36" s="196" customFormat="1" ht="18.75" customHeight="1" x14ac:dyDescent="0.2">
      <c r="A83" s="1132"/>
      <c r="B83" s="1077"/>
      <c r="C83" s="559" t="s">
        <v>52</v>
      </c>
      <c r="D83" s="317" t="s">
        <v>185</v>
      </c>
      <c r="E83" s="199">
        <v>1</v>
      </c>
      <c r="F83" s="199">
        <f>F81</f>
        <v>71700</v>
      </c>
      <c r="G83" s="185">
        <f>G81</f>
        <v>74570</v>
      </c>
      <c r="H83" s="315">
        <f>H82</f>
        <v>1.04</v>
      </c>
      <c r="I83" s="198">
        <f>G83*E83*12</f>
        <v>894840</v>
      </c>
      <c r="J83" s="304"/>
      <c r="K83" s="311"/>
      <c r="L83" s="199"/>
      <c r="M83" s="200"/>
      <c r="N83" s="315"/>
      <c r="O83" s="315"/>
      <c r="P83" s="198"/>
      <c r="Q83" s="529"/>
      <c r="R83" s="315"/>
      <c r="S83" s="315"/>
      <c r="T83" s="315"/>
      <c r="U83" s="315"/>
      <c r="V83" s="315"/>
      <c r="W83" s="318"/>
      <c r="X83" s="593">
        <f t="shared" si="14"/>
        <v>894840</v>
      </c>
      <c r="Z83" s="184"/>
      <c r="AA83" s="184"/>
      <c r="AB83" s="513"/>
      <c r="AC83" s="513"/>
      <c r="AD83" s="513"/>
      <c r="AE83" s="513"/>
      <c r="AF83" s="184"/>
      <c r="AG83" s="184"/>
      <c r="AH83" s="184"/>
      <c r="AI83" s="514"/>
      <c r="AJ83" s="514"/>
    </row>
    <row r="84" spans="1:36" s="196" customFormat="1" ht="18.75" customHeight="1" x14ac:dyDescent="0.2">
      <c r="A84" s="1131">
        <v>17</v>
      </c>
      <c r="B84" s="1073" t="s">
        <v>254</v>
      </c>
      <c r="C84" s="559" t="s">
        <v>181</v>
      </c>
      <c r="D84" s="317"/>
      <c r="E84" s="199"/>
      <c r="F84" s="199"/>
      <c r="G84" s="200"/>
      <c r="H84" s="315"/>
      <c r="I84" s="198"/>
      <c r="J84" s="304">
        <f>1056+147</f>
        <v>1203</v>
      </c>
      <c r="K84" s="311">
        <v>1</v>
      </c>
      <c r="L84" s="625">
        <v>93700</v>
      </c>
      <c r="M84" s="534">
        <f>M63</f>
        <v>97450</v>
      </c>
      <c r="N84" s="315">
        <f>N80</f>
        <v>1.04</v>
      </c>
      <c r="O84" s="532">
        <v>1.1000000000000001</v>
      </c>
      <c r="P84" s="198">
        <f>M84*K84*O84*12</f>
        <v>1286340.0000000002</v>
      </c>
      <c r="Q84" s="529"/>
      <c r="R84" s="315"/>
      <c r="S84" s="315"/>
      <c r="T84" s="315"/>
      <c r="U84" s="315"/>
      <c r="V84" s="315"/>
      <c r="W84" s="318"/>
      <c r="X84" s="593">
        <f t="shared" si="14"/>
        <v>1286340.0000000002</v>
      </c>
      <c r="Z84" s="184"/>
      <c r="AA84" s="184"/>
      <c r="AB84" s="513"/>
      <c r="AC84" s="513"/>
      <c r="AD84" s="513"/>
      <c r="AE84" s="513"/>
      <c r="AF84" s="184"/>
      <c r="AG84" s="184"/>
      <c r="AH84" s="184"/>
      <c r="AI84" s="514"/>
      <c r="AJ84" s="514"/>
    </row>
    <row r="85" spans="1:36" s="196" customFormat="1" ht="18.75" customHeight="1" x14ac:dyDescent="0.2">
      <c r="A85" s="1132"/>
      <c r="B85" s="1077"/>
      <c r="C85" s="559" t="s">
        <v>49</v>
      </c>
      <c r="D85" s="317"/>
      <c r="E85" s="199"/>
      <c r="F85" s="199"/>
      <c r="G85" s="200"/>
      <c r="H85" s="315"/>
      <c r="I85" s="198"/>
      <c r="J85" s="304">
        <v>148</v>
      </c>
      <c r="K85" s="311">
        <v>1</v>
      </c>
      <c r="L85" s="625">
        <v>66200</v>
      </c>
      <c r="M85" s="534">
        <f>M77</f>
        <v>68850</v>
      </c>
      <c r="N85" s="315">
        <f>N84</f>
        <v>1.04</v>
      </c>
      <c r="O85" s="315">
        <v>1</v>
      </c>
      <c r="P85" s="198">
        <f>M85*K85*O85*12</f>
        <v>826200</v>
      </c>
      <c r="Q85" s="529"/>
      <c r="R85" s="315"/>
      <c r="S85" s="315"/>
      <c r="T85" s="315"/>
      <c r="U85" s="315"/>
      <c r="V85" s="315"/>
      <c r="W85" s="318"/>
      <c r="X85" s="593">
        <f t="shared" si="14"/>
        <v>826200</v>
      </c>
      <c r="Z85" s="184"/>
      <c r="AA85" s="184"/>
      <c r="AB85" s="513"/>
      <c r="AC85" s="513"/>
      <c r="AD85" s="513"/>
      <c r="AE85" s="513"/>
      <c r="AF85" s="184"/>
      <c r="AG85" s="184"/>
      <c r="AH85" s="184"/>
      <c r="AI85" s="514"/>
      <c r="AJ85" s="514"/>
    </row>
    <row r="86" spans="1:36" s="196" customFormat="1" ht="18.75" customHeight="1" x14ac:dyDescent="0.2">
      <c r="A86" s="1133"/>
      <c r="B86" s="1074"/>
      <c r="C86" s="559" t="s">
        <v>48</v>
      </c>
      <c r="D86" s="567" t="s">
        <v>186</v>
      </c>
      <c r="E86" s="199">
        <v>1</v>
      </c>
      <c r="F86" s="199">
        <f>F82</f>
        <v>66200</v>
      </c>
      <c r="G86" s="185">
        <f>G82</f>
        <v>68850</v>
      </c>
      <c r="H86" s="315">
        <f>H83</f>
        <v>1.04</v>
      </c>
      <c r="I86" s="198">
        <f>G86*E86*12</f>
        <v>826200</v>
      </c>
      <c r="J86" s="304"/>
      <c r="K86" s="311"/>
      <c r="L86" s="199"/>
      <c r="M86" s="200"/>
      <c r="N86" s="315"/>
      <c r="O86" s="315"/>
      <c r="P86" s="198"/>
      <c r="Q86" s="529"/>
      <c r="R86" s="315"/>
      <c r="S86" s="315"/>
      <c r="T86" s="315"/>
      <c r="U86" s="315"/>
      <c r="V86" s="315"/>
      <c r="W86" s="318"/>
      <c r="X86" s="593">
        <f t="shared" si="14"/>
        <v>826200</v>
      </c>
      <c r="Z86" s="184"/>
      <c r="AA86" s="184"/>
      <c r="AB86" s="513"/>
      <c r="AC86" s="513"/>
      <c r="AD86" s="513"/>
      <c r="AE86" s="513"/>
      <c r="AF86" s="184"/>
      <c r="AG86" s="184"/>
      <c r="AH86" s="184"/>
      <c r="AI86" s="514"/>
      <c r="AJ86" s="514"/>
    </row>
    <row r="87" spans="1:36" s="196" customFormat="1" ht="18.75" customHeight="1" x14ac:dyDescent="0.2">
      <c r="A87" s="182">
        <v>18</v>
      </c>
      <c r="B87" s="462" t="s">
        <v>47</v>
      </c>
      <c r="C87" s="559" t="s">
        <v>46</v>
      </c>
      <c r="D87" s="317"/>
      <c r="E87" s="199"/>
      <c r="F87" s="199"/>
      <c r="G87" s="200"/>
      <c r="H87" s="315"/>
      <c r="I87" s="198"/>
      <c r="J87" s="304">
        <v>936</v>
      </c>
      <c r="K87" s="311">
        <v>1</v>
      </c>
      <c r="L87" s="625">
        <v>88200</v>
      </c>
      <c r="M87" s="534">
        <f>M80</f>
        <v>91730</v>
      </c>
      <c r="N87" s="315">
        <f>N85</f>
        <v>1.04</v>
      </c>
      <c r="O87" s="532">
        <v>1.1000000000000001</v>
      </c>
      <c r="P87" s="198">
        <f t="shared" ref="P87:P94" si="16">M87*K87*O87*12</f>
        <v>1210836.0000000002</v>
      </c>
      <c r="Q87" s="529"/>
      <c r="R87" s="315"/>
      <c r="S87" s="315"/>
      <c r="T87" s="315"/>
      <c r="U87" s="315"/>
      <c r="V87" s="315"/>
      <c r="W87" s="318"/>
      <c r="X87" s="593">
        <f t="shared" si="14"/>
        <v>1210836.0000000002</v>
      </c>
      <c r="Z87" s="184"/>
      <c r="AA87" s="184"/>
      <c r="AB87" s="513"/>
      <c r="AC87" s="513"/>
      <c r="AD87" s="513"/>
      <c r="AE87" s="513"/>
      <c r="AF87" s="184"/>
      <c r="AG87" s="184"/>
      <c r="AH87" s="184"/>
      <c r="AI87" s="514"/>
      <c r="AJ87" s="514"/>
    </row>
    <row r="88" spans="1:36" s="196" customFormat="1" ht="18.75" customHeight="1" x14ac:dyDescent="0.2">
      <c r="A88" s="1122">
        <v>19</v>
      </c>
      <c r="B88" s="1042" t="s">
        <v>45</v>
      </c>
      <c r="C88" s="591" t="s">
        <v>44</v>
      </c>
      <c r="D88" s="317"/>
      <c r="E88" s="199"/>
      <c r="F88" s="199"/>
      <c r="G88" s="200"/>
      <c r="H88" s="315"/>
      <c r="I88" s="198"/>
      <c r="J88" s="304">
        <v>306</v>
      </c>
      <c r="K88" s="311">
        <v>1</v>
      </c>
      <c r="L88" s="625">
        <v>66200</v>
      </c>
      <c r="M88" s="534">
        <f>M85</f>
        <v>68850</v>
      </c>
      <c r="N88" s="315">
        <f>N87</f>
        <v>1.04</v>
      </c>
      <c r="O88" s="533">
        <v>1.05</v>
      </c>
      <c r="P88" s="198">
        <f t="shared" si="16"/>
        <v>867510</v>
      </c>
      <c r="Q88" s="529"/>
      <c r="R88" s="315"/>
      <c r="S88" s="315"/>
      <c r="T88" s="315"/>
      <c r="U88" s="315"/>
      <c r="V88" s="315"/>
      <c r="W88" s="318"/>
      <c r="X88" s="593">
        <f t="shared" si="14"/>
        <v>867510</v>
      </c>
      <c r="Z88" s="184"/>
      <c r="AA88" s="184"/>
      <c r="AB88" s="513"/>
      <c r="AC88" s="513"/>
      <c r="AD88" s="513"/>
      <c r="AE88" s="513"/>
      <c r="AF88" s="184"/>
      <c r="AG88" s="184"/>
      <c r="AH88" s="184"/>
      <c r="AI88" s="514"/>
      <c r="AJ88" s="514"/>
    </row>
    <row r="89" spans="1:36" s="183" customFormat="1" ht="18.75" customHeight="1" x14ac:dyDescent="0.2">
      <c r="A89" s="1122"/>
      <c r="B89" s="1042"/>
      <c r="C89" s="559" t="s">
        <v>43</v>
      </c>
      <c r="D89" s="317"/>
      <c r="E89" s="199"/>
      <c r="F89" s="199"/>
      <c r="G89" s="200"/>
      <c r="H89" s="315"/>
      <c r="I89" s="198"/>
      <c r="J89" s="304">
        <f>120+12</f>
        <v>132</v>
      </c>
      <c r="K89" s="311">
        <v>1</v>
      </c>
      <c r="L89" s="625">
        <v>66200</v>
      </c>
      <c r="M89" s="534">
        <f>M88</f>
        <v>68850</v>
      </c>
      <c r="N89" s="315">
        <f t="shared" ref="N89:N94" si="17">N88</f>
        <v>1.04</v>
      </c>
      <c r="O89" s="532">
        <v>1.1000000000000001</v>
      </c>
      <c r="P89" s="198">
        <f t="shared" si="16"/>
        <v>908820</v>
      </c>
      <c r="Q89" s="547"/>
      <c r="R89" s="318"/>
      <c r="S89" s="318"/>
      <c r="T89" s="318"/>
      <c r="U89" s="318"/>
      <c r="V89" s="318"/>
      <c r="W89" s="318"/>
      <c r="X89" s="593">
        <f t="shared" si="14"/>
        <v>908820</v>
      </c>
      <c r="Z89" s="184"/>
      <c r="AA89" s="184"/>
      <c r="AB89" s="513"/>
      <c r="AC89" s="513"/>
      <c r="AD89" s="513"/>
      <c r="AE89" s="513"/>
      <c r="AF89" s="184"/>
      <c r="AG89" s="184"/>
      <c r="AH89" s="184"/>
      <c r="AI89" s="514"/>
      <c r="AJ89" s="514"/>
    </row>
    <row r="90" spans="1:36" s="183" customFormat="1" ht="18.75" customHeight="1" x14ac:dyDescent="0.2">
      <c r="A90" s="1122">
        <v>20</v>
      </c>
      <c r="B90" s="1042" t="s">
        <v>42</v>
      </c>
      <c r="C90" s="559" t="s">
        <v>196</v>
      </c>
      <c r="D90" s="317"/>
      <c r="E90" s="199"/>
      <c r="F90" s="199"/>
      <c r="G90" s="200"/>
      <c r="H90" s="315"/>
      <c r="I90" s="198"/>
      <c r="J90" s="304">
        <v>763</v>
      </c>
      <c r="K90" s="311">
        <v>1</v>
      </c>
      <c r="L90" s="625">
        <v>88200</v>
      </c>
      <c r="M90" s="534">
        <f>M87</f>
        <v>91730</v>
      </c>
      <c r="N90" s="315">
        <f t="shared" si="17"/>
        <v>1.04</v>
      </c>
      <c r="O90" s="532">
        <v>1.1000000000000001</v>
      </c>
      <c r="P90" s="198">
        <f t="shared" si="16"/>
        <v>1210836.0000000002</v>
      </c>
      <c r="Q90" s="547"/>
      <c r="R90" s="318"/>
      <c r="S90" s="318"/>
      <c r="T90" s="318"/>
      <c r="U90" s="318"/>
      <c r="V90" s="318"/>
      <c r="W90" s="318"/>
      <c r="X90" s="593">
        <f t="shared" si="14"/>
        <v>1210836.0000000002</v>
      </c>
      <c r="Z90" s="184"/>
      <c r="AA90" s="184"/>
      <c r="AB90" s="513"/>
      <c r="AC90" s="513"/>
      <c r="AD90" s="513"/>
      <c r="AE90" s="513"/>
      <c r="AF90" s="184"/>
      <c r="AG90" s="184"/>
      <c r="AH90" s="184"/>
      <c r="AI90" s="514"/>
      <c r="AJ90" s="514"/>
    </row>
    <row r="91" spans="1:36" s="183" customFormat="1" ht="18.75" customHeight="1" x14ac:dyDescent="0.2">
      <c r="A91" s="1122"/>
      <c r="B91" s="1042"/>
      <c r="C91" s="559" t="s">
        <v>195</v>
      </c>
      <c r="D91" s="317"/>
      <c r="E91" s="199"/>
      <c r="F91" s="199"/>
      <c r="G91" s="200"/>
      <c r="H91" s="315"/>
      <c r="I91" s="198"/>
      <c r="J91" s="304">
        <v>688</v>
      </c>
      <c r="K91" s="311">
        <v>1</v>
      </c>
      <c r="L91" s="625">
        <v>88200</v>
      </c>
      <c r="M91" s="534">
        <f>M90</f>
        <v>91730</v>
      </c>
      <c r="N91" s="315">
        <f t="shared" si="17"/>
        <v>1.04</v>
      </c>
      <c r="O91" s="532">
        <v>1</v>
      </c>
      <c r="P91" s="198">
        <f t="shared" si="16"/>
        <v>1100760</v>
      </c>
      <c r="Q91" s="547"/>
      <c r="R91" s="318"/>
      <c r="S91" s="318"/>
      <c r="T91" s="318"/>
      <c r="U91" s="318"/>
      <c r="V91" s="318"/>
      <c r="W91" s="318"/>
      <c r="X91" s="593">
        <f t="shared" si="14"/>
        <v>1100760</v>
      </c>
      <c r="Z91" s="184"/>
      <c r="AA91" s="184"/>
      <c r="AB91" s="513"/>
      <c r="AC91" s="513"/>
      <c r="AD91" s="513"/>
      <c r="AE91" s="513"/>
      <c r="AF91" s="184"/>
      <c r="AG91" s="184"/>
      <c r="AH91" s="184"/>
      <c r="AI91" s="514"/>
      <c r="AJ91" s="514"/>
    </row>
    <row r="92" spans="1:36" s="183" customFormat="1" ht="18.75" customHeight="1" x14ac:dyDescent="0.2">
      <c r="A92" s="1122"/>
      <c r="B92" s="1042"/>
      <c r="C92" s="559" t="s">
        <v>40</v>
      </c>
      <c r="D92" s="317"/>
      <c r="E92" s="199"/>
      <c r="F92" s="199"/>
      <c r="G92" s="200"/>
      <c r="H92" s="315"/>
      <c r="I92" s="198"/>
      <c r="J92" s="304" t="s">
        <v>211</v>
      </c>
      <c r="K92" s="311">
        <v>1</v>
      </c>
      <c r="L92" s="625">
        <v>66200</v>
      </c>
      <c r="M92" s="534">
        <f>M89</f>
        <v>68850</v>
      </c>
      <c r="N92" s="315">
        <f t="shared" si="17"/>
        <v>1.04</v>
      </c>
      <c r="O92" s="315">
        <v>1</v>
      </c>
      <c r="P92" s="198">
        <f t="shared" si="16"/>
        <v>826200</v>
      </c>
      <c r="Q92" s="547"/>
      <c r="R92" s="318"/>
      <c r="S92" s="318"/>
      <c r="T92" s="318"/>
      <c r="U92" s="318"/>
      <c r="V92" s="318"/>
      <c r="W92" s="318"/>
      <c r="X92" s="593">
        <f t="shared" si="14"/>
        <v>826200</v>
      </c>
      <c r="Z92" s="184"/>
      <c r="AA92" s="184"/>
      <c r="AB92" s="513"/>
      <c r="AC92" s="513"/>
      <c r="AD92" s="513"/>
      <c r="AE92" s="513"/>
      <c r="AF92" s="184"/>
      <c r="AG92" s="184"/>
      <c r="AH92" s="184"/>
      <c r="AI92" s="514"/>
      <c r="AJ92" s="514"/>
    </row>
    <row r="93" spans="1:36" s="183" customFormat="1" ht="18.75" customHeight="1" x14ac:dyDescent="0.2">
      <c r="A93" s="1122">
        <v>21</v>
      </c>
      <c r="B93" s="1042" t="s">
        <v>39</v>
      </c>
      <c r="C93" s="559" t="s">
        <v>38</v>
      </c>
      <c r="D93" s="317"/>
      <c r="E93" s="199"/>
      <c r="F93" s="199"/>
      <c r="G93" s="200"/>
      <c r="H93" s="315"/>
      <c r="I93" s="198"/>
      <c r="J93" s="304">
        <v>179</v>
      </c>
      <c r="K93" s="311">
        <v>1</v>
      </c>
      <c r="L93" s="625">
        <v>66200</v>
      </c>
      <c r="M93" s="534">
        <f>M92</f>
        <v>68850</v>
      </c>
      <c r="N93" s="315">
        <f t="shared" si="17"/>
        <v>1.04</v>
      </c>
      <c r="O93" s="532">
        <v>1.1000000000000001</v>
      </c>
      <c r="P93" s="198">
        <f t="shared" si="16"/>
        <v>908820</v>
      </c>
      <c r="Q93" s="547"/>
      <c r="R93" s="318"/>
      <c r="S93" s="318"/>
      <c r="T93" s="318"/>
      <c r="U93" s="318"/>
      <c r="V93" s="318"/>
      <c r="W93" s="318"/>
      <c r="X93" s="593">
        <f t="shared" si="14"/>
        <v>908820</v>
      </c>
      <c r="Z93" s="184"/>
      <c r="AA93" s="184"/>
      <c r="AB93" s="513"/>
      <c r="AC93" s="513"/>
      <c r="AD93" s="513"/>
      <c r="AE93" s="513"/>
      <c r="AF93" s="184"/>
      <c r="AG93" s="184"/>
      <c r="AH93" s="184"/>
      <c r="AI93" s="514"/>
      <c r="AJ93" s="514"/>
    </row>
    <row r="94" spans="1:36" s="183" customFormat="1" ht="18.75" customHeight="1" x14ac:dyDescent="0.2">
      <c r="A94" s="1122"/>
      <c r="B94" s="1042"/>
      <c r="C94" s="559" t="s">
        <v>250</v>
      </c>
      <c r="D94" s="317"/>
      <c r="E94" s="199"/>
      <c r="F94" s="199"/>
      <c r="G94" s="200"/>
      <c r="H94" s="315"/>
      <c r="I94" s="198"/>
      <c r="J94" s="304">
        <v>139</v>
      </c>
      <c r="K94" s="311">
        <v>1</v>
      </c>
      <c r="L94" s="625">
        <v>66200</v>
      </c>
      <c r="M94" s="534">
        <f>M93</f>
        <v>68850</v>
      </c>
      <c r="N94" s="315">
        <f t="shared" si="17"/>
        <v>1.04</v>
      </c>
      <c r="O94" s="315">
        <v>1</v>
      </c>
      <c r="P94" s="198">
        <f t="shared" si="16"/>
        <v>826200</v>
      </c>
      <c r="Q94" s="547"/>
      <c r="R94" s="318"/>
      <c r="S94" s="318"/>
      <c r="T94" s="318"/>
      <c r="U94" s="318"/>
      <c r="V94" s="318"/>
      <c r="W94" s="318"/>
      <c r="X94" s="593">
        <f t="shared" si="14"/>
        <v>826200</v>
      </c>
      <c r="Z94" s="184"/>
      <c r="AA94" s="184"/>
      <c r="AB94" s="513"/>
      <c r="AC94" s="513"/>
      <c r="AD94" s="513"/>
      <c r="AE94" s="513"/>
      <c r="AF94" s="184"/>
      <c r="AG94" s="184"/>
      <c r="AH94" s="184"/>
      <c r="AI94" s="514"/>
      <c r="AJ94" s="514"/>
    </row>
    <row r="95" spans="1:36" s="183" customFormat="1" ht="18.75" customHeight="1" x14ac:dyDescent="0.2">
      <c r="A95" s="1122"/>
      <c r="B95" s="1042"/>
      <c r="C95" s="559" t="s">
        <v>248</v>
      </c>
      <c r="D95" s="567" t="s">
        <v>186</v>
      </c>
      <c r="E95" s="199">
        <v>1</v>
      </c>
      <c r="F95" s="199">
        <f>F86</f>
        <v>66200</v>
      </c>
      <c r="G95" s="185">
        <f>G82</f>
        <v>68850</v>
      </c>
      <c r="H95" s="315">
        <f>H86</f>
        <v>1.04</v>
      </c>
      <c r="I95" s="198">
        <f>G95*E95*12</f>
        <v>826200</v>
      </c>
      <c r="J95" s="304"/>
      <c r="K95" s="311"/>
      <c r="L95" s="199"/>
      <c r="M95" s="200"/>
      <c r="N95" s="315"/>
      <c r="O95" s="315"/>
      <c r="P95" s="198"/>
      <c r="Q95" s="547"/>
      <c r="R95" s="318"/>
      <c r="S95" s="318"/>
      <c r="T95" s="318"/>
      <c r="U95" s="318"/>
      <c r="V95" s="318"/>
      <c r="W95" s="318"/>
      <c r="X95" s="593">
        <f t="shared" si="14"/>
        <v>826200</v>
      </c>
      <c r="Z95" s="184"/>
      <c r="AA95" s="184"/>
      <c r="AB95" s="513"/>
      <c r="AC95" s="513"/>
      <c r="AD95" s="513"/>
      <c r="AE95" s="513"/>
      <c r="AF95" s="184"/>
      <c r="AG95" s="184"/>
      <c r="AH95" s="184"/>
      <c r="AI95" s="514"/>
      <c r="AJ95" s="514"/>
    </row>
    <row r="96" spans="1:36" s="183" customFormat="1" ht="18.75" customHeight="1" x14ac:dyDescent="0.2">
      <c r="A96" s="1122"/>
      <c r="B96" s="1042"/>
      <c r="C96" s="554" t="s">
        <v>249</v>
      </c>
      <c r="D96" s="567" t="s">
        <v>186</v>
      </c>
      <c r="E96" s="199">
        <v>1</v>
      </c>
      <c r="F96" s="199">
        <f>F95</f>
        <v>66200</v>
      </c>
      <c r="G96" s="185">
        <f>G95</f>
        <v>68850</v>
      </c>
      <c r="H96" s="315">
        <f>H95</f>
        <v>1.04</v>
      </c>
      <c r="I96" s="198">
        <f>G96*E96*12</f>
        <v>826200</v>
      </c>
      <c r="J96" s="304"/>
      <c r="K96" s="311"/>
      <c r="L96" s="199"/>
      <c r="M96" s="200"/>
      <c r="N96" s="315"/>
      <c r="O96" s="315"/>
      <c r="P96" s="198"/>
      <c r="Q96" s="547"/>
      <c r="R96" s="318"/>
      <c r="S96" s="318"/>
      <c r="T96" s="318"/>
      <c r="U96" s="318"/>
      <c r="V96" s="318"/>
      <c r="W96" s="318"/>
      <c r="X96" s="593">
        <f t="shared" si="14"/>
        <v>826200</v>
      </c>
      <c r="Z96" s="184"/>
      <c r="AA96" s="184"/>
      <c r="AB96" s="513"/>
      <c r="AC96" s="513"/>
      <c r="AD96" s="513"/>
      <c r="AE96" s="513"/>
      <c r="AF96" s="184"/>
      <c r="AG96" s="184"/>
      <c r="AH96" s="184"/>
      <c r="AI96" s="514"/>
      <c r="AJ96" s="514"/>
    </row>
    <row r="97" spans="1:36" s="183" customFormat="1" ht="18.75" customHeight="1" x14ac:dyDescent="0.2">
      <c r="A97" s="182">
        <v>22</v>
      </c>
      <c r="B97" s="462" t="s">
        <v>35</v>
      </c>
      <c r="C97" s="559" t="s">
        <v>34</v>
      </c>
      <c r="D97" s="317"/>
      <c r="E97" s="199"/>
      <c r="F97" s="199"/>
      <c r="G97" s="200"/>
      <c r="H97" s="315"/>
      <c r="I97" s="198"/>
      <c r="J97" s="304">
        <v>752</v>
      </c>
      <c r="K97" s="311">
        <v>1</v>
      </c>
      <c r="L97" s="625">
        <v>88200</v>
      </c>
      <c r="M97" s="534">
        <f>M91</f>
        <v>91730</v>
      </c>
      <c r="N97" s="315">
        <f>N94</f>
        <v>1.04</v>
      </c>
      <c r="O97" s="532">
        <v>1.1000000000000001</v>
      </c>
      <c r="P97" s="198">
        <f>M97*K97*O97*12</f>
        <v>1210836.0000000002</v>
      </c>
      <c r="Q97" s="547"/>
      <c r="R97" s="318"/>
      <c r="S97" s="318"/>
      <c r="T97" s="318"/>
      <c r="U97" s="318"/>
      <c r="V97" s="318"/>
      <c r="W97" s="318"/>
      <c r="X97" s="593">
        <f t="shared" si="14"/>
        <v>1210836.0000000002</v>
      </c>
      <c r="Z97" s="184"/>
      <c r="AA97" s="184"/>
      <c r="AB97" s="513"/>
      <c r="AC97" s="513"/>
      <c r="AD97" s="513"/>
      <c r="AE97" s="513"/>
      <c r="AF97" s="184"/>
      <c r="AG97" s="184"/>
      <c r="AH97" s="184"/>
      <c r="AI97" s="514"/>
      <c r="AJ97" s="514"/>
    </row>
    <row r="98" spans="1:36" s="183" customFormat="1" ht="18.75" customHeight="1" x14ac:dyDescent="0.2">
      <c r="A98" s="182">
        <v>23</v>
      </c>
      <c r="B98" s="462" t="s">
        <v>33</v>
      </c>
      <c r="C98" s="559" t="s">
        <v>33</v>
      </c>
      <c r="D98" s="317"/>
      <c r="E98" s="199"/>
      <c r="F98" s="199"/>
      <c r="G98" s="200"/>
      <c r="H98" s="315"/>
      <c r="I98" s="198"/>
      <c r="J98" s="304">
        <v>473</v>
      </c>
      <c r="K98" s="311">
        <v>1</v>
      </c>
      <c r="L98" s="625">
        <v>77200</v>
      </c>
      <c r="M98" s="534">
        <f>M71</f>
        <v>80290</v>
      </c>
      <c r="N98" s="315">
        <f>N97</f>
        <v>1.04</v>
      </c>
      <c r="O98" s="532">
        <v>1.1000000000000001</v>
      </c>
      <c r="P98" s="198">
        <f>M98*K98*O98*12</f>
        <v>1059828</v>
      </c>
      <c r="Q98" s="547"/>
      <c r="R98" s="318"/>
      <c r="S98" s="318"/>
      <c r="T98" s="318"/>
      <c r="U98" s="318"/>
      <c r="V98" s="318"/>
      <c r="W98" s="318"/>
      <c r="X98" s="593">
        <f t="shared" si="14"/>
        <v>1059828</v>
      </c>
      <c r="Z98" s="184"/>
      <c r="AA98" s="184"/>
      <c r="AB98" s="513"/>
      <c r="AC98" s="513"/>
      <c r="AD98" s="513"/>
      <c r="AE98" s="513"/>
      <c r="AF98" s="184"/>
      <c r="AG98" s="184"/>
      <c r="AH98" s="184"/>
      <c r="AI98" s="514"/>
      <c r="AJ98" s="514"/>
    </row>
    <row r="99" spans="1:36" s="183" customFormat="1" ht="18.75" customHeight="1" x14ac:dyDescent="0.2">
      <c r="A99" s="1122">
        <v>24</v>
      </c>
      <c r="B99" s="1042" t="s">
        <v>32</v>
      </c>
      <c r="C99" s="559" t="s">
        <v>31</v>
      </c>
      <c r="D99" s="317"/>
      <c r="E99" s="199"/>
      <c r="F99" s="199"/>
      <c r="G99" s="200"/>
      <c r="H99" s="315"/>
      <c r="I99" s="198"/>
      <c r="J99" s="304">
        <v>628</v>
      </c>
      <c r="K99" s="311">
        <v>1</v>
      </c>
      <c r="L99" s="625">
        <v>88200</v>
      </c>
      <c r="M99" s="534">
        <f>M97</f>
        <v>91730</v>
      </c>
      <c r="N99" s="315">
        <f>N98</f>
        <v>1.04</v>
      </c>
      <c r="O99" s="315">
        <v>1</v>
      </c>
      <c r="P99" s="198">
        <f>M99*K99*O99*12</f>
        <v>1100760</v>
      </c>
      <c r="Q99" s="547"/>
      <c r="R99" s="318"/>
      <c r="S99" s="318"/>
      <c r="T99" s="318"/>
      <c r="U99" s="318"/>
      <c r="V99" s="318"/>
      <c r="W99" s="318"/>
      <c r="X99" s="593">
        <f t="shared" si="14"/>
        <v>1100760</v>
      </c>
      <c r="Z99" s="184"/>
      <c r="AA99" s="184"/>
      <c r="AB99" s="513"/>
      <c r="AC99" s="513"/>
      <c r="AD99" s="513"/>
      <c r="AE99" s="513"/>
      <c r="AF99" s="184"/>
      <c r="AG99" s="184"/>
      <c r="AH99" s="184"/>
      <c r="AI99" s="514"/>
      <c r="AJ99" s="514"/>
    </row>
    <row r="100" spans="1:36" s="183" customFormat="1" ht="18.75" customHeight="1" x14ac:dyDescent="0.2">
      <c r="A100" s="1122"/>
      <c r="B100" s="1042"/>
      <c r="C100" s="559" t="s">
        <v>31</v>
      </c>
      <c r="D100" s="317" t="s">
        <v>185</v>
      </c>
      <c r="E100" s="199">
        <v>1</v>
      </c>
      <c r="F100" s="199">
        <f>F83</f>
        <v>71700</v>
      </c>
      <c r="G100" s="185">
        <f>G83</f>
        <v>74570</v>
      </c>
      <c r="H100" s="315">
        <f>H96</f>
        <v>1.04</v>
      </c>
      <c r="I100" s="198">
        <f>G100*E100*12</f>
        <v>894840</v>
      </c>
      <c r="J100" s="304"/>
      <c r="K100" s="311"/>
      <c r="L100" s="199"/>
      <c r="M100" s="200"/>
      <c r="N100" s="315"/>
      <c r="O100" s="315"/>
      <c r="P100" s="198"/>
      <c r="Q100" s="547"/>
      <c r="R100" s="318"/>
      <c r="S100" s="318"/>
      <c r="T100" s="318"/>
      <c r="U100" s="318"/>
      <c r="V100" s="318"/>
      <c r="W100" s="318"/>
      <c r="X100" s="593">
        <f t="shared" si="14"/>
        <v>894840</v>
      </c>
      <c r="Z100" s="184"/>
      <c r="AA100" s="184"/>
      <c r="AB100" s="513"/>
      <c r="AC100" s="513"/>
      <c r="AD100" s="513"/>
      <c r="AE100" s="513"/>
      <c r="AF100" s="184"/>
      <c r="AG100" s="184"/>
      <c r="AH100" s="184"/>
      <c r="AI100" s="514"/>
      <c r="AJ100" s="514"/>
    </row>
    <row r="101" spans="1:36" s="183" customFormat="1" ht="18.75" customHeight="1" x14ac:dyDescent="0.2">
      <c r="A101" s="1122"/>
      <c r="B101" s="1042"/>
      <c r="C101" s="559" t="s">
        <v>267</v>
      </c>
      <c r="D101" s="317" t="s">
        <v>185</v>
      </c>
      <c r="E101" s="199">
        <v>1</v>
      </c>
      <c r="F101" s="199">
        <f>F100</f>
        <v>71700</v>
      </c>
      <c r="G101" s="185">
        <f>G100</f>
        <v>74570</v>
      </c>
      <c r="H101" s="315">
        <f>H100</f>
        <v>1.04</v>
      </c>
      <c r="I101" s="198">
        <f>G101*E101*12</f>
        <v>894840</v>
      </c>
      <c r="J101" s="304"/>
      <c r="K101" s="311"/>
      <c r="L101" s="199"/>
      <c r="M101" s="200"/>
      <c r="N101" s="315"/>
      <c r="O101" s="315"/>
      <c r="P101" s="198"/>
      <c r="Q101" s="547"/>
      <c r="R101" s="318"/>
      <c r="S101" s="318"/>
      <c r="T101" s="318"/>
      <c r="U101" s="318"/>
      <c r="V101" s="318"/>
      <c r="W101" s="318"/>
      <c r="X101" s="593">
        <f t="shared" si="14"/>
        <v>894840</v>
      </c>
      <c r="Z101" s="184"/>
      <c r="AA101" s="184"/>
      <c r="AB101" s="513"/>
      <c r="AC101" s="513"/>
      <c r="AD101" s="513"/>
      <c r="AE101" s="513"/>
      <c r="AF101" s="184"/>
      <c r="AG101" s="184"/>
      <c r="AH101" s="184"/>
      <c r="AI101" s="514"/>
      <c r="AJ101" s="514"/>
    </row>
    <row r="102" spans="1:36" s="183" customFormat="1" ht="18.75" customHeight="1" x14ac:dyDescent="0.2">
      <c r="A102" s="1122">
        <v>25</v>
      </c>
      <c r="B102" s="1073" t="s">
        <v>29</v>
      </c>
      <c r="C102" s="559" t="s">
        <v>28</v>
      </c>
      <c r="D102" s="317"/>
      <c r="E102" s="199"/>
      <c r="F102" s="199"/>
      <c r="G102" s="200"/>
      <c r="H102" s="315"/>
      <c r="I102" s="198"/>
      <c r="J102" s="304">
        <v>750</v>
      </c>
      <c r="K102" s="311">
        <v>1</v>
      </c>
      <c r="L102" s="625">
        <v>88200</v>
      </c>
      <c r="M102" s="534">
        <f>M99</f>
        <v>91730</v>
      </c>
      <c r="N102" s="315">
        <f>N99</f>
        <v>1.04</v>
      </c>
      <c r="O102" s="532">
        <v>1.1000000000000001</v>
      </c>
      <c r="P102" s="198">
        <f>M102*K102*O102*12</f>
        <v>1210836.0000000002</v>
      </c>
      <c r="Q102" s="547"/>
      <c r="R102" s="318"/>
      <c r="S102" s="318"/>
      <c r="T102" s="318"/>
      <c r="U102" s="318"/>
      <c r="V102" s="318"/>
      <c r="W102" s="318"/>
      <c r="X102" s="593">
        <f t="shared" si="14"/>
        <v>1210836.0000000002</v>
      </c>
      <c r="Z102" s="184"/>
      <c r="AA102" s="184"/>
      <c r="AB102" s="513"/>
      <c r="AC102" s="513"/>
      <c r="AD102" s="513"/>
      <c r="AE102" s="513"/>
      <c r="AF102" s="184"/>
      <c r="AG102" s="184"/>
      <c r="AH102" s="184"/>
      <c r="AI102" s="514"/>
      <c r="AJ102" s="514"/>
    </row>
    <row r="103" spans="1:36" s="183" customFormat="1" ht="18.75" customHeight="1" x14ac:dyDescent="0.2">
      <c r="A103" s="1122"/>
      <c r="B103" s="1077"/>
      <c r="C103" s="559" t="s">
        <v>260</v>
      </c>
      <c r="D103" s="317" t="s">
        <v>185</v>
      </c>
      <c r="E103" s="199">
        <v>1</v>
      </c>
      <c r="F103" s="199">
        <f>F101</f>
        <v>71700</v>
      </c>
      <c r="G103" s="185">
        <f>G101</f>
        <v>74570</v>
      </c>
      <c r="H103" s="315">
        <f>H101</f>
        <v>1.04</v>
      </c>
      <c r="I103" s="198">
        <f>G103*E103*12</f>
        <v>894840</v>
      </c>
      <c r="J103" s="304"/>
      <c r="K103" s="311"/>
      <c r="L103" s="199"/>
      <c r="M103" s="200"/>
      <c r="N103" s="315"/>
      <c r="O103" s="315"/>
      <c r="P103" s="198"/>
      <c r="Q103" s="547"/>
      <c r="R103" s="318"/>
      <c r="S103" s="318"/>
      <c r="T103" s="318"/>
      <c r="U103" s="318"/>
      <c r="V103" s="318"/>
      <c r="W103" s="318"/>
      <c r="X103" s="593">
        <f t="shared" si="14"/>
        <v>894840</v>
      </c>
      <c r="Z103" s="184"/>
      <c r="AA103" s="184"/>
      <c r="AB103" s="513"/>
      <c r="AC103" s="513"/>
      <c r="AD103" s="513"/>
      <c r="AE103" s="513"/>
      <c r="AF103" s="184"/>
      <c r="AG103" s="184"/>
      <c r="AH103" s="184"/>
      <c r="AI103" s="514"/>
      <c r="AJ103" s="514"/>
    </row>
    <row r="104" spans="1:36" s="183" customFormat="1" ht="18.75" customHeight="1" x14ac:dyDescent="0.2">
      <c r="A104" s="1122"/>
      <c r="B104" s="1077"/>
      <c r="C104" s="559" t="s">
        <v>251</v>
      </c>
      <c r="D104" s="317" t="s">
        <v>185</v>
      </c>
      <c r="E104" s="199">
        <v>1</v>
      </c>
      <c r="F104" s="199">
        <f>F103</f>
        <v>71700</v>
      </c>
      <c r="G104" s="185">
        <f>G103</f>
        <v>74570</v>
      </c>
      <c r="H104" s="315">
        <f>H103</f>
        <v>1.04</v>
      </c>
      <c r="I104" s="198">
        <f>G104*E104*12</f>
        <v>894840</v>
      </c>
      <c r="J104" s="304"/>
      <c r="K104" s="311"/>
      <c r="L104" s="199"/>
      <c r="M104" s="200"/>
      <c r="N104" s="315"/>
      <c r="O104" s="315"/>
      <c r="P104" s="198"/>
      <c r="Q104" s="547"/>
      <c r="R104" s="318"/>
      <c r="S104" s="318"/>
      <c r="T104" s="318"/>
      <c r="U104" s="318"/>
      <c r="V104" s="318"/>
      <c r="W104" s="318"/>
      <c r="X104" s="593">
        <f t="shared" si="14"/>
        <v>894840</v>
      </c>
      <c r="Z104" s="184"/>
      <c r="AA104" s="184"/>
      <c r="AB104" s="513"/>
      <c r="AC104" s="513"/>
      <c r="AD104" s="513"/>
      <c r="AE104" s="513"/>
      <c r="AF104" s="184"/>
      <c r="AG104" s="184"/>
      <c r="AH104" s="184"/>
      <c r="AI104" s="514"/>
      <c r="AJ104" s="514"/>
    </row>
    <row r="105" spans="1:36" s="183" customFormat="1" ht="18.75" customHeight="1" x14ac:dyDescent="0.2">
      <c r="A105" s="1122">
        <v>26</v>
      </c>
      <c r="B105" s="1042" t="s">
        <v>26</v>
      </c>
      <c r="C105" s="559" t="s">
        <v>25</v>
      </c>
      <c r="D105" s="317"/>
      <c r="E105" s="199"/>
      <c r="F105" s="199"/>
      <c r="G105" s="200"/>
      <c r="H105" s="315"/>
      <c r="I105" s="198"/>
      <c r="J105" s="304">
        <v>144</v>
      </c>
      <c r="K105" s="311">
        <v>1</v>
      </c>
      <c r="L105" s="625">
        <v>66200</v>
      </c>
      <c r="M105" s="534">
        <f>M94</f>
        <v>68850</v>
      </c>
      <c r="N105" s="315">
        <f>N102</f>
        <v>1.04</v>
      </c>
      <c r="O105" s="315">
        <v>1</v>
      </c>
      <c r="P105" s="198">
        <f>M105*K105*O105*12</f>
        <v>826200</v>
      </c>
      <c r="Q105" s="547"/>
      <c r="R105" s="318"/>
      <c r="S105" s="318"/>
      <c r="T105" s="318"/>
      <c r="U105" s="318"/>
      <c r="V105" s="318"/>
      <c r="W105" s="318"/>
      <c r="X105" s="593">
        <f t="shared" si="14"/>
        <v>826200</v>
      </c>
      <c r="Z105" s="184"/>
      <c r="AA105" s="184"/>
      <c r="AB105" s="513"/>
      <c r="AC105" s="513"/>
      <c r="AD105" s="513"/>
      <c r="AE105" s="513"/>
      <c r="AF105" s="184"/>
      <c r="AG105" s="184"/>
      <c r="AH105" s="184"/>
      <c r="AI105" s="514"/>
      <c r="AJ105" s="514"/>
    </row>
    <row r="106" spans="1:36" s="183" customFormat="1" ht="18.75" customHeight="1" x14ac:dyDescent="0.2">
      <c r="A106" s="1122"/>
      <c r="B106" s="1042"/>
      <c r="C106" s="559" t="s">
        <v>24</v>
      </c>
      <c r="D106" s="317"/>
      <c r="E106" s="199"/>
      <c r="F106" s="199"/>
      <c r="G106" s="200"/>
      <c r="H106" s="315"/>
      <c r="I106" s="198"/>
      <c r="J106" s="304">
        <v>106</v>
      </c>
      <c r="K106" s="311">
        <v>1</v>
      </c>
      <c r="L106" s="625">
        <v>66200</v>
      </c>
      <c r="M106" s="534">
        <f>M105</f>
        <v>68850</v>
      </c>
      <c r="N106" s="315">
        <f>N105</f>
        <v>1.04</v>
      </c>
      <c r="O106" s="315">
        <v>1</v>
      </c>
      <c r="P106" s="198">
        <f>M106*K106*O106*12</f>
        <v>826200</v>
      </c>
      <c r="Q106" s="547"/>
      <c r="R106" s="318"/>
      <c r="S106" s="318"/>
      <c r="T106" s="318"/>
      <c r="U106" s="318"/>
      <c r="V106" s="318"/>
      <c r="W106" s="318"/>
      <c r="X106" s="593">
        <f t="shared" si="14"/>
        <v>826200</v>
      </c>
      <c r="Z106" s="184"/>
      <c r="AA106" s="184"/>
      <c r="AB106" s="513"/>
      <c r="AC106" s="513"/>
      <c r="AD106" s="513"/>
      <c r="AE106" s="513"/>
      <c r="AF106" s="184"/>
      <c r="AG106" s="184"/>
      <c r="AH106" s="184"/>
      <c r="AI106" s="514"/>
      <c r="AJ106" s="514"/>
    </row>
    <row r="107" spans="1:36" s="651" customFormat="1" ht="18.75" customHeight="1" x14ac:dyDescent="0.2">
      <c r="A107" s="645">
        <v>27</v>
      </c>
      <c r="B107" s="589" t="s">
        <v>23</v>
      </c>
      <c r="C107" s="584" t="s">
        <v>317</v>
      </c>
      <c r="D107" s="567"/>
      <c r="E107" s="627"/>
      <c r="F107" s="627"/>
      <c r="G107" s="646"/>
      <c r="H107" s="526"/>
      <c r="I107" s="647"/>
      <c r="J107" s="531">
        <v>183</v>
      </c>
      <c r="K107" s="330">
        <v>1</v>
      </c>
      <c r="L107" s="627">
        <f>L93</f>
        <v>66200</v>
      </c>
      <c r="M107" s="627">
        <f>M93</f>
        <v>68850</v>
      </c>
      <c r="N107" s="526"/>
      <c r="O107" s="526"/>
      <c r="P107" s="647">
        <f>P93/1.1/3/365*247</f>
        <v>186366.57534246572</v>
      </c>
      <c r="Q107" s="648"/>
      <c r="R107" s="649"/>
      <c r="S107" s="649"/>
      <c r="T107" s="649"/>
      <c r="U107" s="649"/>
      <c r="V107" s="649"/>
      <c r="W107" s="649"/>
      <c r="X107" s="650">
        <f t="shared" si="14"/>
        <v>186366.57534246572</v>
      </c>
      <c r="Z107" s="652"/>
      <c r="AA107" s="652"/>
      <c r="AB107" s="653"/>
      <c r="AC107" s="653"/>
      <c r="AD107" s="653"/>
      <c r="AE107" s="653"/>
      <c r="AF107" s="652"/>
      <c r="AG107" s="652"/>
      <c r="AH107" s="652"/>
      <c r="AI107" s="654"/>
      <c r="AJ107" s="654"/>
    </row>
    <row r="108" spans="1:36" s="183" customFormat="1" ht="18.75" customHeight="1" x14ac:dyDescent="0.2">
      <c r="A108" s="1116">
        <v>28</v>
      </c>
      <c r="B108" s="1073" t="s">
        <v>252</v>
      </c>
      <c r="C108" s="559" t="s">
        <v>193</v>
      </c>
      <c r="D108" s="317" t="s">
        <v>185</v>
      </c>
      <c r="E108" s="199">
        <v>1</v>
      </c>
      <c r="F108" s="199">
        <f>F104</f>
        <v>71700</v>
      </c>
      <c r="G108" s="185">
        <f>G104</f>
        <v>74570</v>
      </c>
      <c r="H108" s="315">
        <f>H104</f>
        <v>1.04</v>
      </c>
      <c r="I108" s="198">
        <f>G108*E108*12</f>
        <v>894840</v>
      </c>
      <c r="J108" s="304"/>
      <c r="K108" s="311"/>
      <c r="L108" s="199"/>
      <c r="M108" s="200"/>
      <c r="N108" s="315"/>
      <c r="O108" s="315"/>
      <c r="P108" s="198"/>
      <c r="Q108" s="547"/>
      <c r="R108" s="318"/>
      <c r="S108" s="318"/>
      <c r="T108" s="318"/>
      <c r="U108" s="318"/>
      <c r="V108" s="318"/>
      <c r="W108" s="318"/>
      <c r="X108" s="593">
        <f t="shared" si="14"/>
        <v>894840</v>
      </c>
      <c r="Z108" s="184"/>
      <c r="AA108" s="184"/>
      <c r="AB108" s="513"/>
      <c r="AC108" s="513"/>
      <c r="AD108" s="513"/>
      <c r="AE108" s="513"/>
      <c r="AF108" s="184"/>
      <c r="AG108" s="184"/>
      <c r="AH108" s="184"/>
      <c r="AI108" s="514"/>
      <c r="AJ108" s="514"/>
    </row>
    <row r="109" spans="1:36" s="183" customFormat="1" ht="18.75" customHeight="1" x14ac:dyDescent="0.2">
      <c r="A109" s="1130"/>
      <c r="B109" s="1077"/>
      <c r="C109" s="559" t="s">
        <v>194</v>
      </c>
      <c r="D109" s="317" t="s">
        <v>185</v>
      </c>
      <c r="E109" s="199">
        <v>1</v>
      </c>
      <c r="F109" s="199">
        <f t="shared" ref="F109:H111" si="18">F108</f>
        <v>71700</v>
      </c>
      <c r="G109" s="185">
        <f>G108</f>
        <v>74570</v>
      </c>
      <c r="H109" s="315">
        <f t="shared" si="18"/>
        <v>1.04</v>
      </c>
      <c r="I109" s="198">
        <f>G109*E109*12</f>
        <v>894840</v>
      </c>
      <c r="J109" s="304"/>
      <c r="K109" s="311"/>
      <c r="L109" s="199"/>
      <c r="M109" s="200"/>
      <c r="N109" s="315"/>
      <c r="O109" s="315"/>
      <c r="P109" s="198"/>
      <c r="Q109" s="547"/>
      <c r="R109" s="318"/>
      <c r="S109" s="318"/>
      <c r="T109" s="318"/>
      <c r="U109" s="318"/>
      <c r="V109" s="318"/>
      <c r="W109" s="318"/>
      <c r="X109" s="593">
        <f t="shared" si="14"/>
        <v>894840</v>
      </c>
      <c r="Z109" s="184"/>
      <c r="AA109" s="184"/>
      <c r="AB109" s="513"/>
      <c r="AC109" s="513"/>
      <c r="AD109" s="513"/>
      <c r="AE109" s="513"/>
      <c r="AF109" s="184"/>
      <c r="AG109" s="184"/>
      <c r="AH109" s="184"/>
      <c r="AI109" s="514"/>
      <c r="AJ109" s="514"/>
    </row>
    <row r="110" spans="1:36" s="183" customFormat="1" ht="18.75" customHeight="1" x14ac:dyDescent="0.2">
      <c r="A110" s="1130"/>
      <c r="B110" s="1077"/>
      <c r="C110" s="559" t="s">
        <v>244</v>
      </c>
      <c r="D110" s="317" t="s">
        <v>185</v>
      </c>
      <c r="E110" s="199">
        <v>1</v>
      </c>
      <c r="F110" s="199">
        <f t="shared" si="18"/>
        <v>71700</v>
      </c>
      <c r="G110" s="185">
        <f>G109</f>
        <v>74570</v>
      </c>
      <c r="H110" s="315">
        <f t="shared" si="18"/>
        <v>1.04</v>
      </c>
      <c r="I110" s="198">
        <f>G110*E110*12</f>
        <v>894840</v>
      </c>
      <c r="J110" s="304"/>
      <c r="K110" s="311"/>
      <c r="L110" s="199"/>
      <c r="M110" s="200"/>
      <c r="N110" s="315"/>
      <c r="O110" s="315"/>
      <c r="P110" s="198"/>
      <c r="Q110" s="547"/>
      <c r="R110" s="318"/>
      <c r="S110" s="318"/>
      <c r="T110" s="318"/>
      <c r="U110" s="318"/>
      <c r="V110" s="318"/>
      <c r="W110" s="318"/>
      <c r="X110" s="593">
        <f t="shared" si="14"/>
        <v>894840</v>
      </c>
      <c r="Z110" s="184"/>
      <c r="AA110" s="184"/>
      <c r="AB110" s="513"/>
      <c r="AC110" s="513"/>
      <c r="AD110" s="513"/>
      <c r="AE110" s="513"/>
      <c r="AF110" s="184"/>
      <c r="AG110" s="184"/>
      <c r="AH110" s="184"/>
      <c r="AI110" s="514"/>
      <c r="AJ110" s="514"/>
    </row>
    <row r="111" spans="1:36" s="183" customFormat="1" ht="18.75" customHeight="1" x14ac:dyDescent="0.2">
      <c r="A111" s="1130"/>
      <c r="B111" s="1077"/>
      <c r="C111" s="559" t="s">
        <v>245</v>
      </c>
      <c r="D111" s="317" t="s">
        <v>185</v>
      </c>
      <c r="E111" s="199">
        <v>1</v>
      </c>
      <c r="F111" s="199">
        <f t="shared" si="18"/>
        <v>71700</v>
      </c>
      <c r="G111" s="185">
        <f>G110</f>
        <v>74570</v>
      </c>
      <c r="H111" s="315">
        <f t="shared" si="18"/>
        <v>1.04</v>
      </c>
      <c r="I111" s="198">
        <f>G111*E111*12</f>
        <v>894840</v>
      </c>
      <c r="J111" s="304"/>
      <c r="K111" s="311"/>
      <c r="L111" s="199"/>
      <c r="M111" s="200"/>
      <c r="N111" s="315"/>
      <c r="O111" s="315"/>
      <c r="P111" s="198"/>
      <c r="Q111" s="547"/>
      <c r="R111" s="318"/>
      <c r="S111" s="318"/>
      <c r="T111" s="318"/>
      <c r="U111" s="318"/>
      <c r="V111" s="318"/>
      <c r="W111" s="318"/>
      <c r="X111" s="593">
        <f t="shared" si="14"/>
        <v>894840</v>
      </c>
      <c r="Z111" s="184"/>
      <c r="AA111" s="184"/>
      <c r="AB111" s="513"/>
      <c r="AC111" s="513"/>
      <c r="AD111" s="513"/>
      <c r="AE111" s="513"/>
      <c r="AF111" s="184"/>
      <c r="AG111" s="184"/>
      <c r="AH111" s="184"/>
      <c r="AI111" s="514"/>
      <c r="AJ111" s="514"/>
    </row>
    <row r="112" spans="1:36" s="183" customFormat="1" ht="18.75" customHeight="1" x14ac:dyDescent="0.2">
      <c r="A112" s="1130"/>
      <c r="B112" s="1077"/>
      <c r="C112" s="559" t="s">
        <v>192</v>
      </c>
      <c r="D112" s="317"/>
      <c r="E112" s="199"/>
      <c r="F112" s="199"/>
      <c r="G112" s="200"/>
      <c r="H112" s="315"/>
      <c r="I112" s="198"/>
      <c r="J112" s="304">
        <f>1584-J113</f>
        <v>1164</v>
      </c>
      <c r="K112" s="311">
        <v>1</v>
      </c>
      <c r="L112" s="199">
        <v>93700</v>
      </c>
      <c r="M112" s="534">
        <f>M84</f>
        <v>97450</v>
      </c>
      <c r="N112" s="315">
        <f>N106</f>
        <v>1.04</v>
      </c>
      <c r="O112" s="532">
        <v>1.1000000000000001</v>
      </c>
      <c r="P112" s="198">
        <f>M112*K112*O112*12</f>
        <v>1286340.0000000002</v>
      </c>
      <c r="Q112" s="547"/>
      <c r="R112" s="318"/>
      <c r="S112" s="318"/>
      <c r="T112" s="318"/>
      <c r="U112" s="318"/>
      <c r="V112" s="318"/>
      <c r="W112" s="318"/>
      <c r="X112" s="593">
        <f t="shared" si="14"/>
        <v>1286340.0000000002</v>
      </c>
      <c r="Z112" s="184"/>
      <c r="AA112" s="184"/>
      <c r="AB112" s="513"/>
      <c r="AC112" s="513"/>
      <c r="AD112" s="513"/>
      <c r="AE112" s="513"/>
      <c r="AF112" s="184"/>
      <c r="AG112" s="184"/>
      <c r="AH112" s="184"/>
      <c r="AI112" s="514"/>
      <c r="AJ112" s="514"/>
    </row>
    <row r="113" spans="1:36" s="183" customFormat="1" ht="18.75" customHeight="1" x14ac:dyDescent="0.2">
      <c r="A113" s="1117"/>
      <c r="B113" s="1074"/>
      <c r="C113" s="559" t="s">
        <v>242</v>
      </c>
      <c r="D113" s="317"/>
      <c r="E113" s="199"/>
      <c r="F113" s="199"/>
      <c r="G113" s="200"/>
      <c r="H113" s="315"/>
      <c r="I113" s="198"/>
      <c r="J113" s="304">
        <v>420</v>
      </c>
      <c r="K113" s="311">
        <v>1</v>
      </c>
      <c r="L113" s="199">
        <v>77200</v>
      </c>
      <c r="M113" s="534">
        <f>M98</f>
        <v>80290</v>
      </c>
      <c r="N113" s="315">
        <f>N112</f>
        <v>1.04</v>
      </c>
      <c r="O113" s="532">
        <v>1.1000000000000001</v>
      </c>
      <c r="P113" s="198">
        <f>M113*K113*O113*12</f>
        <v>1059828</v>
      </c>
      <c r="Q113" s="547"/>
      <c r="R113" s="318"/>
      <c r="S113" s="318"/>
      <c r="T113" s="318"/>
      <c r="U113" s="318"/>
      <c r="V113" s="318"/>
      <c r="W113" s="318"/>
      <c r="X113" s="593">
        <f t="shared" si="14"/>
        <v>1059828</v>
      </c>
      <c r="Z113" s="184"/>
      <c r="AA113" s="184"/>
      <c r="AB113" s="513"/>
      <c r="AC113" s="513"/>
      <c r="AD113" s="513"/>
      <c r="AE113" s="513"/>
      <c r="AF113" s="184"/>
      <c r="AG113" s="184"/>
      <c r="AH113" s="184"/>
      <c r="AI113" s="514"/>
      <c r="AJ113" s="514"/>
    </row>
    <row r="114" spans="1:36" s="183" customFormat="1" ht="18.75" customHeight="1" x14ac:dyDescent="0.2">
      <c r="A114" s="1126">
        <v>29</v>
      </c>
      <c r="B114" s="1128" t="s">
        <v>253</v>
      </c>
      <c r="C114" s="559" t="s">
        <v>189</v>
      </c>
      <c r="D114" s="317" t="s">
        <v>185</v>
      </c>
      <c r="E114" s="199">
        <v>1</v>
      </c>
      <c r="F114" s="199">
        <f>F111</f>
        <v>71700</v>
      </c>
      <c r="G114" s="185">
        <f>G111</f>
        <v>74570</v>
      </c>
      <c r="H114" s="315">
        <f>H111</f>
        <v>1.04</v>
      </c>
      <c r="I114" s="198">
        <f t="shared" ref="I114:I119" si="19">G114*E114*12</f>
        <v>894840</v>
      </c>
      <c r="J114" s="304"/>
      <c r="K114" s="311"/>
      <c r="L114" s="199"/>
      <c r="M114" s="200"/>
      <c r="N114" s="315"/>
      <c r="O114" s="315"/>
      <c r="P114" s="198"/>
      <c r="Q114" s="547"/>
      <c r="R114" s="318"/>
      <c r="S114" s="318"/>
      <c r="T114" s="318"/>
      <c r="U114" s="318"/>
      <c r="V114" s="318"/>
      <c r="W114" s="318"/>
      <c r="X114" s="593">
        <f t="shared" si="14"/>
        <v>894840</v>
      </c>
      <c r="Z114" s="184"/>
      <c r="AA114" s="184"/>
      <c r="AB114" s="513"/>
      <c r="AC114" s="513"/>
      <c r="AD114" s="513"/>
      <c r="AE114" s="513"/>
      <c r="AF114" s="184"/>
      <c r="AG114" s="184"/>
      <c r="AH114" s="184"/>
      <c r="AI114" s="514"/>
      <c r="AJ114" s="514"/>
    </row>
    <row r="115" spans="1:36" s="183" customFormat="1" ht="18.75" customHeight="1" x14ac:dyDescent="0.2">
      <c r="A115" s="1127"/>
      <c r="B115" s="1128"/>
      <c r="C115" s="559" t="s">
        <v>190</v>
      </c>
      <c r="D115" s="317" t="s">
        <v>185</v>
      </c>
      <c r="E115" s="199">
        <v>1</v>
      </c>
      <c r="F115" s="199">
        <f t="shared" ref="F115:H117" si="20">F114</f>
        <v>71700</v>
      </c>
      <c r="G115" s="185">
        <f t="shared" si="20"/>
        <v>74570</v>
      </c>
      <c r="H115" s="315">
        <f t="shared" si="20"/>
        <v>1.04</v>
      </c>
      <c r="I115" s="198">
        <f t="shared" si="19"/>
        <v>894840</v>
      </c>
      <c r="J115" s="304"/>
      <c r="K115" s="311"/>
      <c r="L115" s="199"/>
      <c r="M115" s="200"/>
      <c r="N115" s="315"/>
      <c r="O115" s="315"/>
      <c r="P115" s="198"/>
      <c r="Q115" s="547"/>
      <c r="R115" s="318"/>
      <c r="S115" s="318"/>
      <c r="T115" s="318"/>
      <c r="U115" s="318"/>
      <c r="V115" s="318"/>
      <c r="W115" s="318"/>
      <c r="X115" s="593">
        <f t="shared" si="14"/>
        <v>894840</v>
      </c>
      <c r="Z115" s="184"/>
      <c r="AA115" s="184"/>
      <c r="AB115" s="513"/>
      <c r="AC115" s="513"/>
      <c r="AD115" s="513"/>
      <c r="AE115" s="513"/>
      <c r="AF115" s="184"/>
      <c r="AG115" s="184"/>
      <c r="AH115" s="184"/>
      <c r="AI115" s="514"/>
      <c r="AJ115" s="514"/>
    </row>
    <row r="116" spans="1:36" s="183" customFormat="1" ht="18.75" customHeight="1" x14ac:dyDescent="0.2">
      <c r="A116" s="1127"/>
      <c r="B116" s="1128"/>
      <c r="C116" s="559" t="s">
        <v>247</v>
      </c>
      <c r="D116" s="317" t="s">
        <v>185</v>
      </c>
      <c r="E116" s="199">
        <v>1</v>
      </c>
      <c r="F116" s="199">
        <f t="shared" si="20"/>
        <v>71700</v>
      </c>
      <c r="G116" s="185">
        <f t="shared" si="20"/>
        <v>74570</v>
      </c>
      <c r="H116" s="315">
        <f t="shared" si="20"/>
        <v>1.04</v>
      </c>
      <c r="I116" s="198">
        <f t="shared" si="19"/>
        <v>894840</v>
      </c>
      <c r="J116" s="304"/>
      <c r="K116" s="311"/>
      <c r="L116" s="199"/>
      <c r="M116" s="200"/>
      <c r="N116" s="315"/>
      <c r="O116" s="315"/>
      <c r="P116" s="198"/>
      <c r="Q116" s="547"/>
      <c r="R116" s="318"/>
      <c r="S116" s="318"/>
      <c r="T116" s="318"/>
      <c r="U116" s="318"/>
      <c r="V116" s="318"/>
      <c r="W116" s="318"/>
      <c r="X116" s="593">
        <f t="shared" si="14"/>
        <v>894840</v>
      </c>
      <c r="Z116" s="184"/>
      <c r="AA116" s="184"/>
      <c r="AB116" s="513"/>
      <c r="AC116" s="513"/>
      <c r="AD116" s="513"/>
      <c r="AE116" s="513"/>
      <c r="AF116" s="184"/>
      <c r="AG116" s="184"/>
      <c r="AH116" s="184"/>
      <c r="AI116" s="514"/>
      <c r="AJ116" s="514"/>
    </row>
    <row r="117" spans="1:36" s="183" customFormat="1" ht="18.75" customHeight="1" x14ac:dyDescent="0.2">
      <c r="A117" s="1127"/>
      <c r="B117" s="1128"/>
      <c r="C117" s="559" t="s">
        <v>246</v>
      </c>
      <c r="D117" s="317" t="s">
        <v>185</v>
      </c>
      <c r="E117" s="199">
        <v>1</v>
      </c>
      <c r="F117" s="199">
        <f t="shared" si="20"/>
        <v>71700</v>
      </c>
      <c r="G117" s="185">
        <f t="shared" si="20"/>
        <v>74570</v>
      </c>
      <c r="H117" s="315">
        <f t="shared" si="20"/>
        <v>1.04</v>
      </c>
      <c r="I117" s="198">
        <f t="shared" si="19"/>
        <v>894840</v>
      </c>
      <c r="J117" s="304"/>
      <c r="K117" s="311"/>
      <c r="L117" s="199"/>
      <c r="M117" s="200"/>
      <c r="N117" s="315"/>
      <c r="O117" s="315"/>
      <c r="P117" s="198"/>
      <c r="Q117" s="547"/>
      <c r="R117" s="318"/>
      <c r="S117" s="318"/>
      <c r="T117" s="318"/>
      <c r="U117" s="318"/>
      <c r="V117" s="318"/>
      <c r="W117" s="318"/>
      <c r="X117" s="593">
        <f t="shared" si="14"/>
        <v>894840</v>
      </c>
      <c r="Z117" s="184"/>
      <c r="AA117" s="184"/>
      <c r="AB117" s="513"/>
      <c r="AC117" s="513"/>
      <c r="AD117" s="513"/>
      <c r="AE117" s="513"/>
      <c r="AF117" s="184"/>
      <c r="AG117" s="184"/>
      <c r="AH117" s="184"/>
      <c r="AI117" s="514"/>
      <c r="AJ117" s="514"/>
    </row>
    <row r="118" spans="1:36" s="183" customFormat="1" ht="18.75" customHeight="1" x14ac:dyDescent="0.2">
      <c r="A118" s="1127"/>
      <c r="B118" s="1128"/>
      <c r="C118" s="559" t="s">
        <v>279</v>
      </c>
      <c r="D118" s="317" t="s">
        <v>185</v>
      </c>
      <c r="E118" s="199">
        <v>1</v>
      </c>
      <c r="F118" s="199">
        <f>F116</f>
        <v>71700</v>
      </c>
      <c r="G118" s="185">
        <f>G117</f>
        <v>74570</v>
      </c>
      <c r="H118" s="315">
        <f>H117</f>
        <v>1.04</v>
      </c>
      <c r="I118" s="198">
        <f t="shared" si="19"/>
        <v>894840</v>
      </c>
      <c r="J118" s="304"/>
      <c r="K118" s="311"/>
      <c r="L118" s="199"/>
      <c r="M118" s="200"/>
      <c r="N118" s="315"/>
      <c r="O118" s="315"/>
      <c r="P118" s="198"/>
      <c r="Q118" s="547"/>
      <c r="R118" s="318"/>
      <c r="S118" s="318"/>
      <c r="T118" s="318"/>
      <c r="U118" s="318"/>
      <c r="V118" s="318"/>
      <c r="W118" s="318"/>
      <c r="X118" s="593">
        <f t="shared" si="14"/>
        <v>894840</v>
      </c>
      <c r="Z118" s="184"/>
      <c r="AA118" s="184"/>
      <c r="AB118" s="513"/>
      <c r="AC118" s="513"/>
      <c r="AD118" s="513"/>
      <c r="AE118" s="513"/>
      <c r="AF118" s="184"/>
      <c r="AG118" s="184"/>
      <c r="AH118" s="184"/>
      <c r="AI118" s="514"/>
      <c r="AJ118" s="514"/>
    </row>
    <row r="119" spans="1:36" s="183" customFormat="1" ht="18.75" customHeight="1" x14ac:dyDescent="0.2">
      <c r="A119" s="1127"/>
      <c r="B119" s="1128"/>
      <c r="C119" s="591" t="s">
        <v>303</v>
      </c>
      <c r="D119" s="317" t="s">
        <v>185</v>
      </c>
      <c r="E119" s="199">
        <v>1</v>
      </c>
      <c r="F119" s="199">
        <f>F117</f>
        <v>71700</v>
      </c>
      <c r="G119" s="185">
        <f>G118</f>
        <v>74570</v>
      </c>
      <c r="H119" s="315">
        <f>H118</f>
        <v>1.04</v>
      </c>
      <c r="I119" s="198">
        <f t="shared" si="19"/>
        <v>894840</v>
      </c>
      <c r="J119" s="304"/>
      <c r="K119" s="311"/>
      <c r="L119" s="199"/>
      <c r="M119" s="200"/>
      <c r="N119" s="315"/>
      <c r="O119" s="315"/>
      <c r="P119" s="198"/>
      <c r="Q119" s="547"/>
      <c r="R119" s="318"/>
      <c r="S119" s="318"/>
      <c r="T119" s="318"/>
      <c r="U119" s="318"/>
      <c r="V119" s="318"/>
      <c r="W119" s="318"/>
      <c r="X119" s="593">
        <f t="shared" si="14"/>
        <v>894840</v>
      </c>
      <c r="Z119" s="184"/>
      <c r="AA119" s="184"/>
      <c r="AB119" s="513"/>
      <c r="AC119" s="513"/>
      <c r="AD119" s="513"/>
      <c r="AE119" s="513"/>
      <c r="AF119" s="184"/>
      <c r="AG119" s="184"/>
      <c r="AH119" s="184"/>
      <c r="AI119" s="514"/>
      <c r="AJ119" s="514"/>
    </row>
    <row r="120" spans="1:36" s="183" customFormat="1" ht="18.75" customHeight="1" x14ac:dyDescent="0.2">
      <c r="A120" s="1127"/>
      <c r="B120" s="1128"/>
      <c r="C120" s="559" t="s">
        <v>277</v>
      </c>
      <c r="D120" s="317"/>
      <c r="E120" s="199"/>
      <c r="F120" s="199"/>
      <c r="G120" s="200"/>
      <c r="H120" s="315"/>
      <c r="I120" s="198"/>
      <c r="J120" s="304">
        <v>1784</v>
      </c>
      <c r="K120" s="311">
        <v>1</v>
      </c>
      <c r="L120" s="625">
        <v>93700</v>
      </c>
      <c r="M120" s="534">
        <f>M112</f>
        <v>97450</v>
      </c>
      <c r="N120" s="315">
        <f>N112</f>
        <v>1.04</v>
      </c>
      <c r="O120" s="532">
        <v>1.1000000000000001</v>
      </c>
      <c r="P120" s="198">
        <f>M120*K120*O120*12</f>
        <v>1286340.0000000002</v>
      </c>
      <c r="Q120" s="547"/>
      <c r="R120" s="318"/>
      <c r="S120" s="318"/>
      <c r="T120" s="318"/>
      <c r="U120" s="318"/>
      <c r="V120" s="318"/>
      <c r="W120" s="318"/>
      <c r="X120" s="593">
        <f t="shared" si="14"/>
        <v>1286340.0000000002</v>
      </c>
      <c r="Z120" s="184"/>
      <c r="AA120" s="184"/>
      <c r="AB120" s="513"/>
      <c r="AC120" s="513"/>
      <c r="AD120" s="513"/>
      <c r="AE120" s="513"/>
      <c r="AF120" s="184"/>
      <c r="AG120" s="184"/>
      <c r="AH120" s="184"/>
      <c r="AI120" s="514"/>
      <c r="AJ120" s="514"/>
    </row>
    <row r="121" spans="1:36" s="183" customFormat="1" ht="18.75" customHeight="1" x14ac:dyDescent="0.2">
      <c r="A121" s="1127"/>
      <c r="B121" s="1128"/>
      <c r="C121" s="584" t="s">
        <v>278</v>
      </c>
      <c r="D121" s="317"/>
      <c r="E121" s="199"/>
      <c r="F121" s="199"/>
      <c r="G121" s="200"/>
      <c r="H121" s="315"/>
      <c r="I121" s="198"/>
      <c r="J121" s="531">
        <v>922</v>
      </c>
      <c r="K121" s="330">
        <v>0.5</v>
      </c>
      <c r="L121" s="625">
        <v>88200</v>
      </c>
      <c r="M121" s="534">
        <f>M102</f>
        <v>91730</v>
      </c>
      <c r="N121" s="526">
        <f>N120</f>
        <v>1.04</v>
      </c>
      <c r="O121" s="526">
        <v>1</v>
      </c>
      <c r="P121" s="198">
        <f>M121*K121*O121*12</f>
        <v>550380</v>
      </c>
      <c r="Q121" s="547"/>
      <c r="R121" s="318"/>
      <c r="S121" s="318"/>
      <c r="T121" s="318"/>
      <c r="U121" s="318"/>
      <c r="V121" s="318"/>
      <c r="W121" s="318"/>
      <c r="X121" s="593">
        <f t="shared" si="14"/>
        <v>550380</v>
      </c>
      <c r="Z121" s="184"/>
      <c r="AA121" s="184"/>
      <c r="AB121" s="513"/>
      <c r="AC121" s="513"/>
      <c r="AD121" s="513"/>
      <c r="AE121" s="513"/>
      <c r="AF121" s="184"/>
      <c r="AG121" s="184"/>
      <c r="AH121" s="184"/>
      <c r="AI121" s="514"/>
      <c r="AJ121" s="514"/>
    </row>
    <row r="122" spans="1:36" s="184" customFormat="1" ht="18.75" customHeight="1" x14ac:dyDescent="0.2">
      <c r="A122" s="1041">
        <v>30</v>
      </c>
      <c r="B122" s="1129" t="s">
        <v>269</v>
      </c>
      <c r="C122" s="552" t="s">
        <v>280</v>
      </c>
      <c r="D122" s="304" t="s">
        <v>185</v>
      </c>
      <c r="E122" s="311">
        <v>1</v>
      </c>
      <c r="F122" s="198">
        <f t="shared" ref="F122:H123" si="21">F118</f>
        <v>71700</v>
      </c>
      <c r="G122" s="185">
        <f t="shared" si="21"/>
        <v>74570</v>
      </c>
      <c r="H122" s="315">
        <f t="shared" si="21"/>
        <v>1.04</v>
      </c>
      <c r="I122" s="198">
        <f t="shared" ref="I122:I127" si="22">G122*E122*12</f>
        <v>894840</v>
      </c>
      <c r="J122" s="442"/>
      <c r="K122" s="311"/>
      <c r="L122" s="311"/>
      <c r="M122" s="311"/>
      <c r="N122" s="315"/>
      <c r="O122" s="315"/>
      <c r="P122" s="198"/>
      <c r="Q122" s="548"/>
      <c r="R122" s="311"/>
      <c r="S122" s="311"/>
      <c r="T122" s="311"/>
      <c r="U122" s="315"/>
      <c r="V122" s="315"/>
      <c r="W122" s="199"/>
      <c r="X122" s="593">
        <f t="shared" si="14"/>
        <v>894840</v>
      </c>
      <c r="AB122" s="513"/>
      <c r="AC122" s="513"/>
      <c r="AD122" s="513"/>
      <c r="AE122" s="513"/>
      <c r="AI122" s="514"/>
      <c r="AJ122" s="514"/>
    </row>
    <row r="123" spans="1:36" s="184" customFormat="1" ht="18.75" customHeight="1" x14ac:dyDescent="0.2">
      <c r="A123" s="1041"/>
      <c r="B123" s="1124"/>
      <c r="C123" s="552" t="s">
        <v>304</v>
      </c>
      <c r="D123" s="304" t="s">
        <v>185</v>
      </c>
      <c r="E123" s="311">
        <v>1</v>
      </c>
      <c r="F123" s="198">
        <f t="shared" si="21"/>
        <v>71700</v>
      </c>
      <c r="G123" s="185">
        <f t="shared" si="21"/>
        <v>74570</v>
      </c>
      <c r="H123" s="315">
        <f t="shared" si="21"/>
        <v>1.04</v>
      </c>
      <c r="I123" s="198">
        <f t="shared" si="22"/>
        <v>894840</v>
      </c>
      <c r="J123" s="442"/>
      <c r="K123" s="311"/>
      <c r="L123" s="311"/>
      <c r="M123" s="311"/>
      <c r="N123" s="315"/>
      <c r="O123" s="315"/>
      <c r="P123" s="198"/>
      <c r="Q123" s="548"/>
      <c r="R123" s="311"/>
      <c r="S123" s="311"/>
      <c r="T123" s="311"/>
      <c r="U123" s="315"/>
      <c r="V123" s="315"/>
      <c r="W123" s="199"/>
      <c r="X123" s="593">
        <f t="shared" si="14"/>
        <v>894840</v>
      </c>
      <c r="AB123" s="513"/>
      <c r="AC123" s="513"/>
      <c r="AD123" s="513"/>
      <c r="AE123" s="513"/>
      <c r="AI123" s="514"/>
      <c r="AJ123" s="514"/>
    </row>
    <row r="124" spans="1:36" s="184" customFormat="1" ht="18.75" customHeight="1" x14ac:dyDescent="0.2">
      <c r="A124" s="1041"/>
      <c r="B124" s="1124"/>
      <c r="C124" s="552" t="s">
        <v>281</v>
      </c>
      <c r="D124" s="304" t="s">
        <v>185</v>
      </c>
      <c r="E124" s="311">
        <v>1</v>
      </c>
      <c r="F124" s="198">
        <f t="shared" ref="F124:H124" si="23">F122</f>
        <v>71700</v>
      </c>
      <c r="G124" s="185">
        <f>G122</f>
        <v>74570</v>
      </c>
      <c r="H124" s="315">
        <f t="shared" si="23"/>
        <v>1.04</v>
      </c>
      <c r="I124" s="198">
        <f t="shared" si="22"/>
        <v>894840</v>
      </c>
      <c r="J124" s="442"/>
      <c r="K124" s="311"/>
      <c r="L124" s="311"/>
      <c r="M124" s="311"/>
      <c r="N124" s="315"/>
      <c r="O124" s="315"/>
      <c r="P124" s="198"/>
      <c r="Q124" s="548"/>
      <c r="R124" s="311"/>
      <c r="S124" s="311"/>
      <c r="T124" s="311"/>
      <c r="U124" s="315"/>
      <c r="V124" s="315"/>
      <c r="W124" s="199"/>
      <c r="X124" s="593">
        <f t="shared" si="14"/>
        <v>894840</v>
      </c>
      <c r="AB124" s="513"/>
      <c r="AC124" s="513"/>
      <c r="AD124" s="513"/>
      <c r="AE124" s="513"/>
      <c r="AI124" s="514"/>
      <c r="AJ124" s="514"/>
    </row>
    <row r="125" spans="1:36" s="184" customFormat="1" ht="18.75" customHeight="1" x14ac:dyDescent="0.2">
      <c r="A125" s="1041"/>
      <c r="B125" s="1124"/>
      <c r="C125" s="552" t="s">
        <v>288</v>
      </c>
      <c r="D125" s="304" t="s">
        <v>185</v>
      </c>
      <c r="E125" s="311">
        <v>1</v>
      </c>
      <c r="F125" s="198">
        <f t="shared" ref="F125:H127" si="24">F124</f>
        <v>71700</v>
      </c>
      <c r="G125" s="185">
        <f t="shared" si="24"/>
        <v>74570</v>
      </c>
      <c r="H125" s="315">
        <f t="shared" si="24"/>
        <v>1.04</v>
      </c>
      <c r="I125" s="198">
        <f t="shared" si="22"/>
        <v>894840</v>
      </c>
      <c r="J125" s="442"/>
      <c r="K125" s="311"/>
      <c r="L125" s="311"/>
      <c r="M125" s="311"/>
      <c r="N125" s="315"/>
      <c r="O125" s="315"/>
      <c r="P125" s="198"/>
      <c r="Q125" s="548"/>
      <c r="R125" s="311"/>
      <c r="S125" s="311"/>
      <c r="T125" s="311"/>
      <c r="U125" s="315"/>
      <c r="V125" s="315"/>
      <c r="W125" s="199"/>
      <c r="X125" s="593">
        <f t="shared" si="14"/>
        <v>894840</v>
      </c>
      <c r="AB125" s="513"/>
      <c r="AC125" s="513"/>
      <c r="AD125" s="513"/>
      <c r="AE125" s="513"/>
      <c r="AI125" s="514"/>
      <c r="AJ125" s="514"/>
    </row>
    <row r="126" spans="1:36" s="184" customFormat="1" ht="18.75" customHeight="1" x14ac:dyDescent="0.2">
      <c r="A126" s="1041"/>
      <c r="B126" s="1124"/>
      <c r="C126" s="552" t="s">
        <v>282</v>
      </c>
      <c r="D126" s="304" t="s">
        <v>185</v>
      </c>
      <c r="E126" s="311">
        <v>1</v>
      </c>
      <c r="F126" s="198">
        <f t="shared" si="24"/>
        <v>71700</v>
      </c>
      <c r="G126" s="185">
        <f t="shared" si="24"/>
        <v>74570</v>
      </c>
      <c r="H126" s="315">
        <f t="shared" si="24"/>
        <v>1.04</v>
      </c>
      <c r="I126" s="198">
        <f t="shared" si="22"/>
        <v>894840</v>
      </c>
      <c r="J126" s="442"/>
      <c r="K126" s="311"/>
      <c r="L126" s="311"/>
      <c r="M126" s="311"/>
      <c r="N126" s="315"/>
      <c r="O126" s="315"/>
      <c r="P126" s="198"/>
      <c r="Q126" s="548"/>
      <c r="R126" s="311"/>
      <c r="S126" s="311"/>
      <c r="T126" s="311"/>
      <c r="U126" s="315"/>
      <c r="V126" s="315"/>
      <c r="W126" s="199"/>
      <c r="X126" s="593">
        <f t="shared" si="14"/>
        <v>894840</v>
      </c>
      <c r="AB126" s="513"/>
      <c r="AC126" s="513"/>
      <c r="AD126" s="513"/>
      <c r="AE126" s="513"/>
      <c r="AI126" s="514"/>
      <c r="AJ126" s="514"/>
    </row>
    <row r="127" spans="1:36" s="184" customFormat="1" ht="18.75" customHeight="1" x14ac:dyDescent="0.2">
      <c r="A127" s="1041"/>
      <c r="B127" s="1124"/>
      <c r="C127" s="552" t="s">
        <v>283</v>
      </c>
      <c r="D127" s="304" t="s">
        <v>185</v>
      </c>
      <c r="E127" s="311">
        <v>1</v>
      </c>
      <c r="F127" s="198">
        <f t="shared" si="24"/>
        <v>71700</v>
      </c>
      <c r="G127" s="185">
        <f t="shared" si="24"/>
        <v>74570</v>
      </c>
      <c r="H127" s="315">
        <f t="shared" si="24"/>
        <v>1.04</v>
      </c>
      <c r="I127" s="198">
        <f t="shared" si="22"/>
        <v>894840</v>
      </c>
      <c r="J127" s="442"/>
      <c r="K127" s="311"/>
      <c r="L127" s="311"/>
      <c r="M127" s="311"/>
      <c r="N127" s="315"/>
      <c r="O127" s="315"/>
      <c r="P127" s="198"/>
      <c r="Q127" s="548"/>
      <c r="R127" s="311"/>
      <c r="S127" s="311"/>
      <c r="T127" s="311"/>
      <c r="U127" s="315"/>
      <c r="V127" s="315"/>
      <c r="W127" s="199"/>
      <c r="X127" s="593">
        <f t="shared" si="14"/>
        <v>894840</v>
      </c>
      <c r="AB127" s="513"/>
      <c r="AC127" s="513"/>
      <c r="AD127" s="513"/>
      <c r="AE127" s="513"/>
      <c r="AI127" s="514"/>
      <c r="AJ127" s="514"/>
    </row>
    <row r="128" spans="1:36" s="183" customFormat="1" ht="18.75" customHeight="1" x14ac:dyDescent="0.2">
      <c r="A128" s="1041"/>
      <c r="B128" s="1124"/>
      <c r="C128" s="584" t="s">
        <v>287</v>
      </c>
      <c r="D128" s="317"/>
      <c r="E128" s="199"/>
      <c r="F128" s="199"/>
      <c r="G128" s="200"/>
      <c r="H128" s="315"/>
      <c r="I128" s="198"/>
      <c r="J128" s="531">
        <v>450</v>
      </c>
      <c r="K128" s="330">
        <v>0.5</v>
      </c>
      <c r="L128" s="627">
        <v>77200</v>
      </c>
      <c r="M128" s="534">
        <f>M113</f>
        <v>80290</v>
      </c>
      <c r="N128" s="526">
        <f>N121</f>
        <v>1.04</v>
      </c>
      <c r="O128" s="526">
        <v>1</v>
      </c>
      <c r="P128" s="198">
        <f>M128*K128*O128*12</f>
        <v>481740</v>
      </c>
      <c r="Q128" s="547"/>
      <c r="R128" s="318"/>
      <c r="S128" s="318"/>
      <c r="T128" s="318"/>
      <c r="U128" s="318"/>
      <c r="V128" s="318"/>
      <c r="W128" s="318"/>
      <c r="X128" s="593">
        <f t="shared" si="14"/>
        <v>481740</v>
      </c>
      <c r="Z128" s="184"/>
      <c r="AA128" s="184"/>
      <c r="AB128" s="513"/>
      <c r="AC128" s="513"/>
      <c r="AD128" s="513"/>
      <c r="AE128" s="513"/>
      <c r="AF128" s="184"/>
      <c r="AG128" s="184"/>
      <c r="AH128" s="184"/>
      <c r="AI128" s="514"/>
      <c r="AJ128" s="514"/>
    </row>
    <row r="129" spans="1:36" s="183" customFormat="1" ht="18.75" customHeight="1" x14ac:dyDescent="0.2">
      <c r="A129" s="1041"/>
      <c r="B129" s="1125"/>
      <c r="C129" s="552" t="s">
        <v>287</v>
      </c>
      <c r="D129" s="317"/>
      <c r="E129" s="199"/>
      <c r="F129" s="199"/>
      <c r="G129" s="200"/>
      <c r="H129" s="315"/>
      <c r="I129" s="198"/>
      <c r="J129" s="531">
        <v>1175</v>
      </c>
      <c r="K129" s="330">
        <v>1</v>
      </c>
      <c r="L129" s="627">
        <v>93700</v>
      </c>
      <c r="M129" s="534">
        <f>M120</f>
        <v>97450</v>
      </c>
      <c r="N129" s="526">
        <f>N128</f>
        <v>1.04</v>
      </c>
      <c r="O129" s="526">
        <v>1.1000000000000001</v>
      </c>
      <c r="P129" s="198">
        <f>M129*K129*O129*12</f>
        <v>1286340.0000000002</v>
      </c>
      <c r="Q129" s="547"/>
      <c r="R129" s="318"/>
      <c r="S129" s="318"/>
      <c r="T129" s="318"/>
      <c r="U129" s="318"/>
      <c r="V129" s="318"/>
      <c r="W129" s="318"/>
      <c r="X129" s="593">
        <f t="shared" si="14"/>
        <v>1286340.0000000002</v>
      </c>
      <c r="Z129" s="184"/>
      <c r="AA129" s="184"/>
      <c r="AB129" s="513"/>
      <c r="AC129" s="513"/>
      <c r="AD129" s="513"/>
      <c r="AE129" s="513"/>
      <c r="AF129" s="184"/>
      <c r="AG129" s="184"/>
      <c r="AH129" s="184"/>
      <c r="AI129" s="514"/>
      <c r="AJ129" s="514"/>
    </row>
    <row r="130" spans="1:36" s="183" customFormat="1" ht="18.75" customHeight="1" x14ac:dyDescent="0.2">
      <c r="A130" s="1065">
        <v>31</v>
      </c>
      <c r="B130" s="1073" t="s">
        <v>176</v>
      </c>
      <c r="C130" s="559" t="s">
        <v>258</v>
      </c>
      <c r="D130" s="317" t="s">
        <v>185</v>
      </c>
      <c r="E130" s="311">
        <v>0.5</v>
      </c>
      <c r="F130" s="199">
        <f>F118</f>
        <v>71700</v>
      </c>
      <c r="G130" s="185">
        <f>G127</f>
        <v>74570</v>
      </c>
      <c r="H130" s="315">
        <f>H118</f>
        <v>1.04</v>
      </c>
      <c r="I130" s="198">
        <f>G130*E130*12</f>
        <v>447420</v>
      </c>
      <c r="J130" s="304"/>
      <c r="K130" s="311"/>
      <c r="L130" s="199"/>
      <c r="M130" s="200"/>
      <c r="N130" s="315"/>
      <c r="O130" s="315"/>
      <c r="P130" s="198"/>
      <c r="Q130" s="547"/>
      <c r="R130" s="318"/>
      <c r="S130" s="318"/>
      <c r="T130" s="318"/>
      <c r="U130" s="318"/>
      <c r="V130" s="318"/>
      <c r="W130" s="318"/>
      <c r="X130" s="593">
        <f t="shared" si="14"/>
        <v>447420</v>
      </c>
      <c r="Z130" s="184"/>
      <c r="AA130" s="184"/>
      <c r="AB130" s="513"/>
      <c r="AC130" s="513"/>
      <c r="AD130" s="513"/>
      <c r="AE130" s="513"/>
      <c r="AF130" s="184"/>
      <c r="AG130" s="184"/>
      <c r="AH130" s="184"/>
      <c r="AI130" s="514"/>
      <c r="AJ130" s="514"/>
    </row>
    <row r="131" spans="1:36" s="183" customFormat="1" ht="18.75" customHeight="1" x14ac:dyDescent="0.2">
      <c r="A131" s="1067"/>
      <c r="B131" s="1077"/>
      <c r="C131" s="559" t="s">
        <v>259</v>
      </c>
      <c r="D131" s="317" t="s">
        <v>185</v>
      </c>
      <c r="E131" s="199">
        <v>1</v>
      </c>
      <c r="F131" s="199">
        <f>F130</f>
        <v>71700</v>
      </c>
      <c r="G131" s="185">
        <f>G130</f>
        <v>74570</v>
      </c>
      <c r="H131" s="315">
        <f>H130</f>
        <v>1.04</v>
      </c>
      <c r="I131" s="198">
        <f>G131*E131*12</f>
        <v>894840</v>
      </c>
      <c r="J131" s="304"/>
      <c r="K131" s="311"/>
      <c r="L131" s="199"/>
      <c r="M131" s="200"/>
      <c r="N131" s="315"/>
      <c r="O131" s="315"/>
      <c r="P131" s="198"/>
      <c r="Q131" s="547"/>
      <c r="R131" s="318"/>
      <c r="S131" s="318"/>
      <c r="T131" s="318"/>
      <c r="U131" s="318"/>
      <c r="V131" s="318"/>
      <c r="W131" s="318"/>
      <c r="X131" s="593">
        <f t="shared" si="14"/>
        <v>894840</v>
      </c>
      <c r="Z131" s="184"/>
      <c r="AA131" s="184"/>
      <c r="AB131" s="513"/>
      <c r="AC131" s="513"/>
      <c r="AD131" s="513"/>
      <c r="AE131" s="513"/>
      <c r="AF131" s="184"/>
      <c r="AG131" s="184"/>
      <c r="AH131" s="184"/>
      <c r="AI131" s="514"/>
      <c r="AJ131" s="514"/>
    </row>
    <row r="132" spans="1:36" s="183" customFormat="1" ht="18.75" customHeight="1" x14ac:dyDescent="0.2">
      <c r="A132" s="1067"/>
      <c r="B132" s="1077"/>
      <c r="C132" s="552" t="s">
        <v>255</v>
      </c>
      <c r="D132" s="317"/>
      <c r="E132" s="199"/>
      <c r="F132" s="199"/>
      <c r="G132" s="200"/>
      <c r="H132" s="315"/>
      <c r="I132" s="198"/>
      <c r="J132" s="304">
        <v>1938</v>
      </c>
      <c r="K132" s="311">
        <v>1</v>
      </c>
      <c r="L132" s="199">
        <v>93700</v>
      </c>
      <c r="M132" s="534">
        <f>M129</f>
        <v>97450</v>
      </c>
      <c r="N132" s="315">
        <f>N129</f>
        <v>1.04</v>
      </c>
      <c r="O132" s="315">
        <v>1.1000000000000001</v>
      </c>
      <c r="P132" s="198">
        <f>M132*K132*O132*12</f>
        <v>1286340.0000000002</v>
      </c>
      <c r="Q132" s="547"/>
      <c r="R132" s="318"/>
      <c r="S132" s="318"/>
      <c r="T132" s="318"/>
      <c r="U132" s="318"/>
      <c r="V132" s="318"/>
      <c r="W132" s="318"/>
      <c r="X132" s="593">
        <f t="shared" si="14"/>
        <v>1286340.0000000002</v>
      </c>
      <c r="Z132" s="184"/>
      <c r="AA132" s="184"/>
      <c r="AB132" s="513"/>
      <c r="AC132" s="513"/>
      <c r="AD132" s="513"/>
      <c r="AE132" s="513"/>
      <c r="AF132" s="184"/>
      <c r="AG132" s="184"/>
      <c r="AH132" s="184"/>
      <c r="AI132" s="514"/>
      <c r="AJ132" s="514"/>
    </row>
    <row r="133" spans="1:36" s="183" customFormat="1" ht="18.75" customHeight="1" x14ac:dyDescent="0.2">
      <c r="A133" s="1066"/>
      <c r="B133" s="1074"/>
      <c r="C133" s="584" t="s">
        <v>255</v>
      </c>
      <c r="D133" s="317"/>
      <c r="E133" s="199"/>
      <c r="F133" s="199"/>
      <c r="G133" s="200"/>
      <c r="H133" s="315"/>
      <c r="I133" s="198"/>
      <c r="J133" s="531">
        <v>1105</v>
      </c>
      <c r="K133" s="330">
        <v>0.5</v>
      </c>
      <c r="L133" s="627">
        <v>93700</v>
      </c>
      <c r="M133" s="534">
        <f>M132</f>
        <v>97450</v>
      </c>
      <c r="N133" s="526">
        <f>N132</f>
        <v>1.04</v>
      </c>
      <c r="O133" s="526">
        <v>1</v>
      </c>
      <c r="P133" s="198">
        <f>M133*K133*O133*12</f>
        <v>584700</v>
      </c>
      <c r="Q133" s="547"/>
      <c r="R133" s="318"/>
      <c r="S133" s="318"/>
      <c r="T133" s="318"/>
      <c r="U133" s="318"/>
      <c r="V133" s="318"/>
      <c r="W133" s="318"/>
      <c r="X133" s="593">
        <f t="shared" si="14"/>
        <v>584700</v>
      </c>
      <c r="Z133" s="184"/>
      <c r="AA133" s="184"/>
      <c r="AB133" s="513"/>
      <c r="AC133" s="513"/>
      <c r="AD133" s="513"/>
      <c r="AE133" s="513"/>
      <c r="AF133" s="184"/>
      <c r="AG133" s="184"/>
      <c r="AH133" s="184"/>
      <c r="AI133" s="514"/>
      <c r="AJ133" s="514"/>
    </row>
    <row r="134" spans="1:36" s="183" customFormat="1" ht="18.75" customHeight="1" x14ac:dyDescent="0.2">
      <c r="A134" s="1116">
        <v>32</v>
      </c>
      <c r="B134" s="1042" t="s">
        <v>240</v>
      </c>
      <c r="C134" s="585" t="s">
        <v>305</v>
      </c>
      <c r="D134" s="317"/>
      <c r="E134" s="199"/>
      <c r="F134" s="199"/>
      <c r="G134" s="200"/>
      <c r="H134" s="315"/>
      <c r="I134" s="198"/>
      <c r="J134" s="531">
        <v>354</v>
      </c>
      <c r="K134" s="330">
        <v>0.5</v>
      </c>
      <c r="L134" s="627">
        <v>66200</v>
      </c>
      <c r="M134" s="534">
        <f>M106</f>
        <v>68850</v>
      </c>
      <c r="N134" s="315">
        <f>N133</f>
        <v>1.04</v>
      </c>
      <c r="O134" s="315">
        <v>1</v>
      </c>
      <c r="P134" s="198">
        <f>M134*K134*O134*12</f>
        <v>413100</v>
      </c>
      <c r="Q134" s="547"/>
      <c r="R134" s="318"/>
      <c r="S134" s="318"/>
      <c r="T134" s="318"/>
      <c r="U134" s="318"/>
      <c r="V134" s="318"/>
      <c r="W134" s="318"/>
      <c r="X134" s="593">
        <f t="shared" si="14"/>
        <v>413100</v>
      </c>
      <c r="Z134" s="184"/>
      <c r="AA134" s="184"/>
      <c r="AB134" s="513"/>
      <c r="AC134" s="513"/>
      <c r="AD134" s="513"/>
      <c r="AE134" s="513"/>
      <c r="AF134" s="184"/>
      <c r="AG134" s="184"/>
      <c r="AH134" s="184"/>
      <c r="AI134" s="514"/>
      <c r="AJ134" s="514"/>
    </row>
    <row r="135" spans="1:36" s="183" customFormat="1" ht="18.75" customHeight="1" x14ac:dyDescent="0.2">
      <c r="A135" s="1117"/>
      <c r="B135" s="1042"/>
      <c r="C135" s="562" t="s">
        <v>305</v>
      </c>
      <c r="D135" s="317"/>
      <c r="E135" s="199"/>
      <c r="F135" s="199"/>
      <c r="G135" s="200"/>
      <c r="H135" s="315"/>
      <c r="I135" s="198"/>
      <c r="J135" s="304">
        <v>733</v>
      </c>
      <c r="K135" s="199">
        <v>1</v>
      </c>
      <c r="L135" s="199">
        <v>88200</v>
      </c>
      <c r="M135" s="534">
        <f>M121</f>
        <v>91730</v>
      </c>
      <c r="N135" s="315">
        <f>N134</f>
        <v>1.04</v>
      </c>
      <c r="O135" s="315">
        <v>1.1000000000000001</v>
      </c>
      <c r="P135" s="198">
        <f>M135*K135*O135*12</f>
        <v>1210836.0000000002</v>
      </c>
      <c r="Q135" s="547"/>
      <c r="R135" s="318"/>
      <c r="S135" s="318"/>
      <c r="T135" s="318"/>
      <c r="U135" s="318"/>
      <c r="V135" s="318"/>
      <c r="W135" s="318"/>
      <c r="X135" s="593">
        <f t="shared" ref="X135:X145" si="25">I135+P135+W135</f>
        <v>1210836.0000000002</v>
      </c>
      <c r="Z135" s="184"/>
      <c r="AA135" s="184"/>
      <c r="AB135" s="513"/>
      <c r="AC135" s="513"/>
      <c r="AD135" s="513"/>
      <c r="AE135" s="513"/>
      <c r="AF135" s="184"/>
      <c r="AG135" s="184"/>
      <c r="AH135" s="184"/>
      <c r="AI135" s="514"/>
      <c r="AJ135" s="514"/>
    </row>
    <row r="136" spans="1:36" s="201" customFormat="1" ht="18.75" customHeight="1" thickBot="1" x14ac:dyDescent="0.25">
      <c r="A136" s="405"/>
      <c r="B136" s="406" t="s">
        <v>1</v>
      </c>
      <c r="C136" s="406"/>
      <c r="D136" s="447"/>
      <c r="E136" s="568">
        <f>SUM(E48:E135)</f>
        <v>36.5</v>
      </c>
      <c r="F136" s="612"/>
      <c r="G136" s="418"/>
      <c r="H136" s="419"/>
      <c r="I136" s="634">
        <f t="shared" ref="I136" si="26">SUM(I48:I135)</f>
        <v>32181180</v>
      </c>
      <c r="J136" s="445"/>
      <c r="K136" s="409">
        <f>SUM(K48:K135)</f>
        <v>48.5</v>
      </c>
      <c r="L136" s="615"/>
      <c r="M136" s="408"/>
      <c r="N136" s="410"/>
      <c r="O136" s="410"/>
      <c r="P136" s="615">
        <f t="shared" ref="P136" si="27">SUM(P48:P135)</f>
        <v>51985056.575342469</v>
      </c>
      <c r="Q136" s="551"/>
      <c r="R136" s="408"/>
      <c r="S136" s="615"/>
      <c r="T136" s="408"/>
      <c r="U136" s="410"/>
      <c r="V136" s="410"/>
      <c r="W136" s="615"/>
      <c r="X136" s="642">
        <f>SUM(X47:X135)</f>
        <v>84166236.575342476</v>
      </c>
      <c r="Y136" s="237"/>
      <c r="Z136" s="515"/>
      <c r="AA136" s="515"/>
      <c r="AB136" s="516"/>
      <c r="AC136" s="515"/>
      <c r="AD136" s="515"/>
      <c r="AE136" s="516"/>
      <c r="AF136" s="515"/>
      <c r="AG136" s="515"/>
      <c r="AH136" s="516"/>
      <c r="AI136" s="517"/>
      <c r="AJ136" s="517"/>
    </row>
    <row r="137" spans="1:36" s="196" customFormat="1" ht="18.75" customHeight="1" thickBot="1" x14ac:dyDescent="0.25">
      <c r="A137" s="1118" t="s">
        <v>18</v>
      </c>
      <c r="B137" s="1119"/>
      <c r="C137" s="1119"/>
      <c r="D137" s="1120"/>
      <c r="E137" s="1120"/>
      <c r="F137" s="613"/>
      <c r="G137" s="590"/>
      <c r="H137" s="569"/>
      <c r="I137" s="604"/>
      <c r="J137" s="581"/>
      <c r="K137" s="542"/>
      <c r="L137" s="542"/>
      <c r="M137" s="542"/>
      <c r="N137" s="543"/>
      <c r="O137" s="543"/>
      <c r="P137" s="616"/>
      <c r="Q137" s="550"/>
      <c r="R137" s="194"/>
      <c r="S137" s="194"/>
      <c r="T137" s="194"/>
      <c r="U137" s="194"/>
      <c r="V137" s="194"/>
      <c r="W137" s="596"/>
      <c r="X137" s="593">
        <f t="shared" si="25"/>
        <v>0</v>
      </c>
      <c r="Z137" s="184"/>
      <c r="AA137" s="184"/>
      <c r="AB137" s="513"/>
      <c r="AC137" s="513"/>
      <c r="AD137" s="513"/>
      <c r="AE137" s="513"/>
      <c r="AF137" s="184"/>
      <c r="AG137" s="184"/>
      <c r="AH137" s="184"/>
      <c r="AI137" s="514"/>
      <c r="AJ137" s="514"/>
    </row>
    <row r="138" spans="1:36" s="201" customFormat="1" ht="18.75" customHeight="1" x14ac:dyDescent="0.2">
      <c r="A138" s="1121">
        <v>1</v>
      </c>
      <c r="B138" s="1123" t="s">
        <v>7</v>
      </c>
      <c r="C138" s="571" t="s">
        <v>5</v>
      </c>
      <c r="D138" s="570"/>
      <c r="E138" s="307"/>
      <c r="F138" s="614"/>
      <c r="G138" s="307"/>
      <c r="H138" s="378"/>
      <c r="I138" s="605"/>
      <c r="J138" s="446"/>
      <c r="K138" s="200"/>
      <c r="L138" s="199"/>
      <c r="M138" s="200"/>
      <c r="N138" s="387"/>
      <c r="O138" s="387"/>
      <c r="P138" s="198"/>
      <c r="Q138" s="592" t="s">
        <v>211</v>
      </c>
      <c r="R138" s="311">
        <v>1</v>
      </c>
      <c r="S138" s="199">
        <v>66200</v>
      </c>
      <c r="T138" s="200">
        <v>68850</v>
      </c>
      <c r="U138" s="388">
        <v>1.04</v>
      </c>
      <c r="V138" s="315">
        <v>1</v>
      </c>
      <c r="W138" s="199">
        <f>T138*R138*V138*12</f>
        <v>826200</v>
      </c>
      <c r="X138" s="593">
        <f t="shared" si="25"/>
        <v>826200</v>
      </c>
      <c r="Z138" s="184"/>
      <c r="AA138" s="184"/>
      <c r="AB138" s="513"/>
      <c r="AC138" s="513"/>
      <c r="AD138" s="513"/>
      <c r="AE138" s="513"/>
      <c r="AF138" s="184"/>
      <c r="AG138" s="184"/>
      <c r="AH138" s="184"/>
      <c r="AI138" s="514"/>
      <c r="AJ138" s="514"/>
    </row>
    <row r="139" spans="1:36" s="201" customFormat="1" ht="18.75" customHeight="1" x14ac:dyDescent="0.2">
      <c r="A139" s="1122"/>
      <c r="B139" s="1124"/>
      <c r="C139" s="572" t="s">
        <v>4</v>
      </c>
      <c r="D139" s="446"/>
      <c r="E139" s="200"/>
      <c r="F139" s="199"/>
      <c r="G139" s="200"/>
      <c r="H139" s="315"/>
      <c r="I139" s="198"/>
      <c r="J139" s="446"/>
      <c r="K139" s="200"/>
      <c r="L139" s="199"/>
      <c r="M139" s="200"/>
      <c r="N139" s="387"/>
      <c r="O139" s="387"/>
      <c r="P139" s="198"/>
      <c r="Q139" s="592" t="s">
        <v>211</v>
      </c>
      <c r="R139" s="311">
        <v>1</v>
      </c>
      <c r="S139" s="629">
        <f t="shared" ref="S139:U139" si="28">S138</f>
        <v>66200</v>
      </c>
      <c r="T139" s="200">
        <f t="shared" si="28"/>
        <v>68850</v>
      </c>
      <c r="U139" s="388">
        <f t="shared" si="28"/>
        <v>1.04</v>
      </c>
      <c r="V139" s="315">
        <v>1</v>
      </c>
      <c r="W139" s="199">
        <f>T139*R139*V139*12</f>
        <v>826200</v>
      </c>
      <c r="X139" s="593">
        <f t="shared" si="25"/>
        <v>826200</v>
      </c>
      <c r="Z139" s="184"/>
      <c r="AA139" s="184"/>
      <c r="AB139" s="513"/>
      <c r="AC139" s="513"/>
      <c r="AD139" s="513"/>
      <c r="AE139" s="513"/>
      <c r="AF139" s="184"/>
      <c r="AG139" s="184"/>
      <c r="AH139" s="184"/>
      <c r="AI139" s="514"/>
      <c r="AJ139" s="514"/>
    </row>
    <row r="140" spans="1:36" s="201" customFormat="1" ht="18.75" customHeight="1" x14ac:dyDescent="0.2">
      <c r="A140" s="1122"/>
      <c r="B140" s="1124"/>
      <c r="C140" s="572" t="s">
        <v>3</v>
      </c>
      <c r="D140" s="446"/>
      <c r="E140" s="200"/>
      <c r="F140" s="199"/>
      <c r="G140" s="200"/>
      <c r="H140" s="315"/>
      <c r="I140" s="198"/>
      <c r="J140" s="446"/>
      <c r="K140" s="200"/>
      <c r="L140" s="199"/>
      <c r="M140" s="200"/>
      <c r="N140" s="387"/>
      <c r="O140" s="387"/>
      <c r="P140" s="198"/>
      <c r="Q140" s="592" t="s">
        <v>211</v>
      </c>
      <c r="R140" s="311">
        <v>1</v>
      </c>
      <c r="S140" s="199">
        <f>S139</f>
        <v>66200</v>
      </c>
      <c r="T140" s="200">
        <f>T139</f>
        <v>68850</v>
      </c>
      <c r="U140" s="388">
        <f>U139</f>
        <v>1.04</v>
      </c>
      <c r="V140" s="315">
        <v>1</v>
      </c>
      <c r="W140" s="199">
        <f>T140*R140*V140*12</f>
        <v>826200</v>
      </c>
      <c r="X140" s="593">
        <f t="shared" si="25"/>
        <v>826200</v>
      </c>
      <c r="Z140" s="184"/>
      <c r="AA140" s="184"/>
      <c r="AB140" s="513"/>
      <c r="AC140" s="513"/>
      <c r="AD140" s="513"/>
      <c r="AE140" s="513"/>
      <c r="AF140" s="184"/>
      <c r="AG140" s="184"/>
      <c r="AH140" s="184"/>
      <c r="AI140" s="514"/>
      <c r="AJ140" s="514"/>
    </row>
    <row r="141" spans="1:36" s="201" customFormat="1" ht="18.75" customHeight="1" x14ac:dyDescent="0.2">
      <c r="A141" s="1122"/>
      <c r="B141" s="1124"/>
      <c r="C141" s="572" t="s">
        <v>3</v>
      </c>
      <c r="D141" s="304" t="s">
        <v>185</v>
      </c>
      <c r="E141" s="311">
        <v>1</v>
      </c>
      <c r="F141" s="198">
        <f>F131</f>
        <v>71700</v>
      </c>
      <c r="G141" s="185">
        <f>G131</f>
        <v>74570</v>
      </c>
      <c r="H141" s="315">
        <f>H131</f>
        <v>1.04</v>
      </c>
      <c r="I141" s="198">
        <f>G141*E141*12</f>
        <v>894840</v>
      </c>
      <c r="J141" s="446"/>
      <c r="K141" s="200"/>
      <c r="L141" s="199"/>
      <c r="M141" s="200"/>
      <c r="N141" s="387"/>
      <c r="O141" s="387"/>
      <c r="P141" s="198"/>
      <c r="Q141" s="544"/>
      <c r="R141" s="311"/>
      <c r="S141" s="199"/>
      <c r="T141" s="200"/>
      <c r="U141" s="388"/>
      <c r="V141" s="315"/>
      <c r="W141" s="199"/>
      <c r="X141" s="593">
        <f t="shared" si="25"/>
        <v>894840</v>
      </c>
      <c r="Z141" s="184"/>
      <c r="AA141" s="184"/>
      <c r="AB141" s="513"/>
      <c r="AC141" s="513"/>
      <c r="AD141" s="513"/>
      <c r="AE141" s="513"/>
      <c r="AF141" s="184"/>
      <c r="AG141" s="184"/>
      <c r="AH141" s="184"/>
      <c r="AI141" s="514"/>
      <c r="AJ141" s="514"/>
    </row>
    <row r="142" spans="1:36" s="201" customFormat="1" ht="18.75" customHeight="1" x14ac:dyDescent="0.2">
      <c r="A142" s="1122"/>
      <c r="B142" s="1124"/>
      <c r="C142" s="640" t="s">
        <v>313</v>
      </c>
      <c r="D142" s="304"/>
      <c r="E142" s="311"/>
      <c r="F142" s="198"/>
      <c r="G142" s="185"/>
      <c r="H142" s="315"/>
      <c r="I142" s="198"/>
      <c r="J142" s="446"/>
      <c r="K142" s="200"/>
      <c r="L142" s="199"/>
      <c r="M142" s="200"/>
      <c r="N142" s="387"/>
      <c r="O142" s="387"/>
      <c r="P142" s="198"/>
      <c r="Q142" s="592" t="s">
        <v>211</v>
      </c>
      <c r="R142" s="639">
        <v>0.5</v>
      </c>
      <c r="S142" s="199">
        <f>S140</f>
        <v>66200</v>
      </c>
      <c r="T142" s="200">
        <f>T140</f>
        <v>68850</v>
      </c>
      <c r="U142" s="388">
        <f>U140</f>
        <v>1.04</v>
      </c>
      <c r="V142" s="315">
        <v>1</v>
      </c>
      <c r="W142" s="199">
        <f>T142*R142*V142*12</f>
        <v>413100</v>
      </c>
      <c r="X142" s="593">
        <f t="shared" si="25"/>
        <v>413100</v>
      </c>
      <c r="Z142" s="184"/>
      <c r="AA142" s="184"/>
      <c r="AB142" s="513"/>
      <c r="AC142" s="513"/>
      <c r="AD142" s="513"/>
      <c r="AE142" s="513"/>
      <c r="AF142" s="184"/>
      <c r="AG142" s="184"/>
      <c r="AH142" s="184"/>
      <c r="AI142" s="514"/>
      <c r="AJ142" s="514"/>
    </row>
    <row r="143" spans="1:36" s="201" customFormat="1" ht="18.75" customHeight="1" x14ac:dyDescent="0.2">
      <c r="A143" s="1122"/>
      <c r="B143" s="1125"/>
      <c r="C143" s="572" t="s">
        <v>2</v>
      </c>
      <c r="D143" s="446"/>
      <c r="E143" s="200"/>
      <c r="F143" s="199"/>
      <c r="G143" s="200"/>
      <c r="H143" s="315"/>
      <c r="I143" s="198"/>
      <c r="J143" s="446"/>
      <c r="K143" s="200"/>
      <c r="L143" s="199"/>
      <c r="M143" s="200"/>
      <c r="N143" s="387"/>
      <c r="O143" s="387"/>
      <c r="P143" s="198"/>
      <c r="Q143" s="592" t="s">
        <v>211</v>
      </c>
      <c r="R143" s="311">
        <v>1</v>
      </c>
      <c r="S143" s="199">
        <f>S140</f>
        <v>66200</v>
      </c>
      <c r="T143" s="200">
        <f>T140</f>
        <v>68850</v>
      </c>
      <c r="U143" s="388">
        <f>U140</f>
        <v>1.04</v>
      </c>
      <c r="V143" s="315">
        <v>1</v>
      </c>
      <c r="W143" s="199">
        <f>T143*R143*V143*12</f>
        <v>826200</v>
      </c>
      <c r="X143" s="593">
        <f t="shared" si="25"/>
        <v>826200</v>
      </c>
      <c r="Z143" s="184"/>
      <c r="AA143" s="184"/>
      <c r="AB143" s="513"/>
      <c r="AC143" s="513"/>
      <c r="AD143" s="513"/>
      <c r="AE143" s="513"/>
      <c r="AF143" s="184"/>
      <c r="AG143" s="184"/>
      <c r="AH143" s="184"/>
      <c r="AI143" s="514"/>
      <c r="AJ143" s="514"/>
    </row>
    <row r="144" spans="1:36" s="201" customFormat="1" ht="18.75" customHeight="1" x14ac:dyDescent="0.2">
      <c r="A144" s="396"/>
      <c r="B144" s="406" t="s">
        <v>1</v>
      </c>
      <c r="C144" s="573"/>
      <c r="D144" s="445"/>
      <c r="E144" s="408">
        <f>SUM(E138:E143)</f>
        <v>1</v>
      </c>
      <c r="F144" s="615"/>
      <c r="G144" s="408"/>
      <c r="H144" s="410"/>
      <c r="I144" s="606">
        <f t="shared" ref="I144" si="29">SUM(I138:I143)</f>
        <v>894840</v>
      </c>
      <c r="J144" s="445"/>
      <c r="K144" s="408">
        <f>SUM(K138:K143)</f>
        <v>0</v>
      </c>
      <c r="L144" s="615"/>
      <c r="M144" s="408"/>
      <c r="N144" s="410"/>
      <c r="O144" s="400"/>
      <c r="P144" s="611">
        <f t="shared" ref="P144" si="30">SUM(P138:P143)</f>
        <v>0</v>
      </c>
      <c r="Q144" s="551"/>
      <c r="R144" s="408">
        <f>SUM(R138:R143)</f>
        <v>4.5</v>
      </c>
      <c r="S144" s="615"/>
      <c r="T144" s="408"/>
      <c r="U144" s="410"/>
      <c r="V144" s="410"/>
      <c r="W144" s="615">
        <f t="shared" ref="W144" si="31">SUM(W138:W143)</f>
        <v>3717900</v>
      </c>
      <c r="X144" s="642">
        <f>SUM(X137:X143)</f>
        <v>4612740</v>
      </c>
      <c r="Y144" s="237"/>
      <c r="Z144" s="515"/>
      <c r="AA144" s="515"/>
      <c r="AB144" s="515"/>
      <c r="AC144" s="515"/>
      <c r="AD144" s="515"/>
      <c r="AE144" s="515"/>
      <c r="AF144" s="515"/>
      <c r="AG144" s="515"/>
      <c r="AH144" s="515"/>
      <c r="AI144" s="518"/>
      <c r="AJ144" s="518"/>
    </row>
    <row r="145" spans="1:36" s="201" customFormat="1" ht="18.75" customHeight="1" x14ac:dyDescent="0.2">
      <c r="A145" s="536">
        <v>1</v>
      </c>
      <c r="B145" s="583" t="s">
        <v>274</v>
      </c>
      <c r="C145" s="574" t="s">
        <v>275</v>
      </c>
      <c r="D145" s="539"/>
      <c r="E145" s="538"/>
      <c r="F145" s="616"/>
      <c r="G145" s="538"/>
      <c r="H145" s="537"/>
      <c r="I145" s="607"/>
      <c r="J145" s="582"/>
      <c r="K145" s="180"/>
      <c r="L145" s="622"/>
      <c r="M145" s="180"/>
      <c r="N145" s="545"/>
      <c r="O145" s="546"/>
      <c r="P145" s="198"/>
      <c r="Q145" s="592" t="s">
        <v>211</v>
      </c>
      <c r="R145" s="639">
        <v>0.5</v>
      </c>
      <c r="S145" s="616">
        <f>66200-66200</f>
        <v>0</v>
      </c>
      <c r="T145" s="200">
        <f>T143-68850</f>
        <v>0</v>
      </c>
      <c r="U145" s="388">
        <f>U143</f>
        <v>1.04</v>
      </c>
      <c r="V145" s="315">
        <v>1</v>
      </c>
      <c r="W145" s="199">
        <f>T145*R145*V145*12/365*247</f>
        <v>0</v>
      </c>
      <c r="X145" s="644">
        <f t="shared" si="25"/>
        <v>0</v>
      </c>
      <c r="Y145" s="237"/>
      <c r="Z145" s="540"/>
      <c r="AA145" s="540"/>
      <c r="AB145" s="540"/>
      <c r="AC145" s="540"/>
      <c r="AD145" s="540"/>
      <c r="AE145" s="540"/>
      <c r="AF145" s="540"/>
      <c r="AG145" s="540"/>
      <c r="AH145" s="540"/>
      <c r="AI145" s="541"/>
      <c r="AJ145" s="541"/>
    </row>
    <row r="146" spans="1:36" s="201" customFormat="1" ht="18.75" customHeight="1" thickBot="1" x14ac:dyDescent="0.25">
      <c r="A146" s="416"/>
      <c r="B146" s="417" t="s">
        <v>0</v>
      </c>
      <c r="C146" s="575"/>
      <c r="D146" s="447"/>
      <c r="E146" s="418">
        <f>E46+E136+E144+E145</f>
        <v>76</v>
      </c>
      <c r="F146" s="612"/>
      <c r="G146" s="418"/>
      <c r="H146" s="419"/>
      <c r="I146" s="634">
        <f t="shared" ref="I146" si="32">I46+I136+I144</f>
        <v>67218480</v>
      </c>
      <c r="J146" s="447"/>
      <c r="K146" s="418">
        <f>K46+K136+K144</f>
        <v>48.5</v>
      </c>
      <c r="L146" s="612"/>
      <c r="M146" s="418"/>
      <c r="N146" s="419"/>
      <c r="O146" s="423"/>
      <c r="P146" s="634">
        <f t="shared" ref="P146" si="33">P46+P136+P144</f>
        <v>51985056.575342469</v>
      </c>
      <c r="Q146" s="576"/>
      <c r="R146" s="418">
        <f>R46+R136+R144+R145</f>
        <v>5</v>
      </c>
      <c r="S146" s="612"/>
      <c r="T146" s="418"/>
      <c r="U146" s="419"/>
      <c r="V146" s="419"/>
      <c r="W146" s="615">
        <f t="shared" ref="W146" si="34">W46+W136+W144+W145</f>
        <v>3717900</v>
      </c>
      <c r="X146" s="643">
        <f>X46+X136+X144+X145</f>
        <v>122921436.57534248</v>
      </c>
      <c r="Y146" s="175"/>
      <c r="Z146" s="519"/>
      <c r="AA146" s="519"/>
      <c r="AB146" s="520"/>
      <c r="AC146" s="519"/>
      <c r="AD146" s="519"/>
      <c r="AE146" s="520"/>
      <c r="AF146" s="519"/>
      <c r="AG146" s="519"/>
      <c r="AH146" s="520"/>
      <c r="AI146" s="521"/>
      <c r="AJ146" s="521"/>
    </row>
    <row r="147" spans="1:36" s="201" customFormat="1" ht="15.6" customHeight="1" x14ac:dyDescent="0.2">
      <c r="A147" s="231"/>
      <c r="B147" s="231"/>
      <c r="C147" s="231"/>
      <c r="E147" s="232"/>
      <c r="F147" s="617"/>
      <c r="G147" s="232"/>
      <c r="I147" s="608"/>
      <c r="K147" s="232"/>
      <c r="L147" s="617"/>
      <c r="M147" s="232"/>
      <c r="P147" s="617"/>
      <c r="Q147" s="232"/>
      <c r="R147" s="232"/>
      <c r="S147" s="617"/>
      <c r="T147" s="232"/>
      <c r="W147" s="617"/>
      <c r="X147" s="234"/>
      <c r="Y147" s="175"/>
      <c r="Z147" s="184"/>
      <c r="AA147" s="184"/>
      <c r="AB147" s="513"/>
      <c r="AC147" s="513"/>
      <c r="AD147" s="513"/>
      <c r="AE147" s="513"/>
      <c r="AF147" s="184"/>
      <c r="AG147" s="184"/>
      <c r="AH147" s="184"/>
      <c r="AI147" s="514"/>
      <c r="AJ147" s="514"/>
    </row>
    <row r="148" spans="1:36" s="201" customFormat="1" ht="15.6" customHeight="1" x14ac:dyDescent="0.2">
      <c r="A148" s="231"/>
      <c r="B148" s="231"/>
      <c r="C148" s="231"/>
      <c r="E148" s="232"/>
      <c r="F148" s="617"/>
      <c r="G148" s="232"/>
      <c r="I148" s="608"/>
      <c r="K148" s="232"/>
      <c r="L148" s="617"/>
      <c r="M148" s="232"/>
      <c r="P148" s="617"/>
      <c r="Q148" s="232"/>
      <c r="R148" s="232"/>
      <c r="S148" s="617"/>
      <c r="T148" s="232"/>
      <c r="W148" s="617"/>
      <c r="X148" s="234"/>
      <c r="Y148" s="175"/>
      <c r="Z148" s="184"/>
      <c r="AA148" s="184"/>
      <c r="AB148" s="513"/>
      <c r="AC148" s="513"/>
      <c r="AD148" s="513"/>
      <c r="AE148" s="513"/>
      <c r="AF148" s="184"/>
      <c r="AG148" s="184"/>
      <c r="AH148" s="184"/>
      <c r="AI148" s="514"/>
      <c r="AJ148" s="514"/>
    </row>
    <row r="149" spans="1:36" s="201" customFormat="1" ht="15.6" customHeight="1" x14ac:dyDescent="0.2">
      <c r="A149" s="231"/>
      <c r="B149" s="231"/>
      <c r="C149" s="231"/>
      <c r="E149" s="232"/>
      <c r="F149" s="617"/>
      <c r="G149" s="232"/>
      <c r="I149" s="608"/>
      <c r="K149" s="232"/>
      <c r="L149" s="617"/>
      <c r="M149" s="232"/>
      <c r="P149" s="617"/>
      <c r="Q149" s="232"/>
      <c r="R149" s="232"/>
      <c r="S149" s="617"/>
      <c r="T149" s="232"/>
      <c r="W149" s="617"/>
      <c r="X149" s="234"/>
      <c r="Y149" s="175"/>
      <c r="Z149" s="184"/>
      <c r="AA149" s="184"/>
      <c r="AB149" s="513"/>
      <c r="AC149" s="513"/>
      <c r="AD149" s="513"/>
      <c r="AE149" s="513"/>
      <c r="AF149" s="184"/>
      <c r="AG149" s="184"/>
      <c r="AH149" s="184"/>
      <c r="AI149" s="514"/>
      <c r="AJ149" s="514"/>
    </row>
    <row r="150" spans="1:36" ht="15.6" customHeight="1" x14ac:dyDescent="0.25">
      <c r="X150" s="202"/>
      <c r="Z150" s="184"/>
      <c r="AA150" s="184"/>
      <c r="AB150" s="513"/>
      <c r="AC150" s="513"/>
      <c r="AD150" s="513"/>
      <c r="AE150" s="513"/>
      <c r="AF150" s="184"/>
      <c r="AG150" s="184"/>
      <c r="AH150" s="184"/>
      <c r="AI150" s="514"/>
      <c r="AJ150" s="514"/>
    </row>
    <row r="151" spans="1:36" ht="15.6" customHeight="1" x14ac:dyDescent="0.25">
      <c r="Z151" s="184"/>
      <c r="AA151" s="184"/>
      <c r="AB151" s="513"/>
      <c r="AC151" s="513"/>
      <c r="AD151" s="513"/>
      <c r="AE151" s="513"/>
      <c r="AF151" s="184"/>
      <c r="AG151" s="184"/>
      <c r="AH151" s="184"/>
      <c r="AI151" s="514"/>
      <c r="AJ151" s="514"/>
    </row>
    <row r="152" spans="1:36" ht="15.6" customHeight="1" thickBot="1" x14ac:dyDescent="0.3">
      <c r="B152" s="329" t="s">
        <v>209</v>
      </c>
      <c r="Z152" s="184"/>
      <c r="AA152" s="184"/>
      <c r="AB152" s="513"/>
      <c r="AC152" s="513"/>
      <c r="AD152" s="513"/>
      <c r="AE152" s="513"/>
      <c r="AF152" s="184"/>
      <c r="AG152" s="184"/>
      <c r="AH152" s="184"/>
      <c r="AI152" s="514"/>
      <c r="AJ152" s="514"/>
    </row>
    <row r="153" spans="1:36" ht="15.6" customHeight="1" x14ac:dyDescent="0.25">
      <c r="A153" s="1068">
        <v>1</v>
      </c>
      <c r="B153" s="1070" t="s">
        <v>201</v>
      </c>
      <c r="C153" s="357" t="s">
        <v>202</v>
      </c>
      <c r="D153" s="454"/>
      <c r="E153" s="358"/>
      <c r="F153" s="358"/>
      <c r="G153" s="359"/>
      <c r="H153" s="380"/>
      <c r="I153" s="609"/>
      <c r="J153" s="448">
        <v>655</v>
      </c>
      <c r="K153" s="362">
        <v>1</v>
      </c>
      <c r="L153" s="358">
        <f>L135</f>
        <v>88200</v>
      </c>
      <c r="M153" s="358">
        <f>M135</f>
        <v>91730</v>
      </c>
      <c r="N153" s="364"/>
      <c r="O153" s="364">
        <v>1.1000000000000001</v>
      </c>
      <c r="P153" s="198">
        <f>M153*K153*O153*12</f>
        <v>1210836.0000000002</v>
      </c>
      <c r="Q153" s="448"/>
      <c r="R153" s="364"/>
      <c r="S153" s="364"/>
      <c r="T153" s="364"/>
      <c r="U153" s="364"/>
      <c r="V153" s="364"/>
      <c r="W153" s="597"/>
      <c r="X153" s="256" t="e">
        <f>#REF!+#REF!+#REF!</f>
        <v>#REF!</v>
      </c>
      <c r="Z153" s="184"/>
      <c r="AA153" s="184"/>
      <c r="AB153" s="513"/>
      <c r="AC153" s="513"/>
      <c r="AD153" s="513"/>
      <c r="AE153" s="513"/>
      <c r="AF153" s="184"/>
      <c r="AG153" s="184"/>
      <c r="AH153" s="184"/>
      <c r="AI153" s="514"/>
      <c r="AJ153" s="514"/>
    </row>
    <row r="154" spans="1:36" ht="15.6" customHeight="1" x14ac:dyDescent="0.25">
      <c r="A154" s="1069"/>
      <c r="B154" s="1071"/>
      <c r="C154" s="365" t="s">
        <v>203</v>
      </c>
      <c r="D154" s="455" t="s">
        <v>185</v>
      </c>
      <c r="E154" s="366">
        <v>1</v>
      </c>
      <c r="F154" s="366">
        <v>65000</v>
      </c>
      <c r="G154" s="367"/>
      <c r="H154" s="381">
        <v>1.05</v>
      </c>
      <c r="I154" s="505"/>
      <c r="J154" s="449"/>
      <c r="K154" s="371"/>
      <c r="L154" s="366"/>
      <c r="M154" s="366"/>
      <c r="N154" s="373"/>
      <c r="O154" s="373"/>
      <c r="P154" s="623"/>
      <c r="Q154" s="449"/>
      <c r="R154" s="373"/>
      <c r="S154" s="373"/>
      <c r="T154" s="373"/>
      <c r="U154" s="373"/>
      <c r="V154" s="373"/>
      <c r="W154" s="598"/>
      <c r="X154" s="257" t="e">
        <f>#REF!+#REF!+#REF!</f>
        <v>#REF!</v>
      </c>
      <c r="Z154" s="184"/>
      <c r="AA154" s="184"/>
      <c r="AB154" s="513"/>
      <c r="AC154" s="513"/>
      <c r="AD154" s="513"/>
      <c r="AE154" s="513"/>
      <c r="AF154" s="184"/>
      <c r="AG154" s="184"/>
      <c r="AH154" s="184"/>
      <c r="AI154" s="514"/>
      <c r="AJ154" s="514"/>
    </row>
    <row r="155" spans="1:36" ht="15.6" customHeight="1" x14ac:dyDescent="0.25">
      <c r="A155" s="1069"/>
      <c r="B155" s="1071"/>
      <c r="C155" s="365" t="s">
        <v>204</v>
      </c>
      <c r="D155" s="455" t="s">
        <v>185</v>
      </c>
      <c r="E155" s="366">
        <v>1</v>
      </c>
      <c r="F155" s="366">
        <v>65000</v>
      </c>
      <c r="G155" s="367"/>
      <c r="H155" s="381">
        <v>1.05</v>
      </c>
      <c r="I155" s="505"/>
      <c r="J155" s="449"/>
      <c r="K155" s="371"/>
      <c r="L155" s="366"/>
      <c r="M155" s="366"/>
      <c r="N155" s="373"/>
      <c r="O155" s="373"/>
      <c r="P155" s="623"/>
      <c r="Q155" s="449"/>
      <c r="R155" s="373"/>
      <c r="S155" s="373"/>
      <c r="T155" s="373"/>
      <c r="U155" s="373"/>
      <c r="V155" s="373"/>
      <c r="W155" s="598"/>
      <c r="X155" s="257" t="e">
        <f>#REF!+#REF!+#REF!</f>
        <v>#REF!</v>
      </c>
      <c r="Z155" s="184"/>
      <c r="AA155" s="184"/>
      <c r="AB155" s="513"/>
      <c r="AC155" s="513"/>
      <c r="AD155" s="513"/>
      <c r="AE155" s="513"/>
      <c r="AF155" s="184"/>
      <c r="AG155" s="184"/>
      <c r="AH155" s="184"/>
      <c r="AI155" s="514"/>
      <c r="AJ155" s="514"/>
    </row>
    <row r="156" spans="1:36" ht="15.6" customHeight="1" x14ac:dyDescent="0.25">
      <c r="A156" s="1069"/>
      <c r="B156" s="1071"/>
      <c r="C156" s="365" t="s">
        <v>205</v>
      </c>
      <c r="D156" s="455"/>
      <c r="E156" s="366"/>
      <c r="F156" s="366"/>
      <c r="G156" s="367"/>
      <c r="H156" s="381"/>
      <c r="I156" s="505"/>
      <c r="J156" s="449"/>
      <c r="K156" s="371"/>
      <c r="L156" s="366"/>
      <c r="M156" s="366"/>
      <c r="N156" s="373"/>
      <c r="O156" s="373"/>
      <c r="P156" s="623"/>
      <c r="Q156" s="449">
        <v>730</v>
      </c>
      <c r="R156" s="371">
        <v>1</v>
      </c>
      <c r="S156" s="366">
        <v>60000</v>
      </c>
      <c r="T156" s="366"/>
      <c r="U156" s="373">
        <v>1.05</v>
      </c>
      <c r="V156" s="373">
        <v>1.05</v>
      </c>
      <c r="W156" s="505"/>
      <c r="X156" s="257" t="e">
        <f>#REF!+#REF!+#REF!</f>
        <v>#REF!</v>
      </c>
      <c r="Z156" s="184"/>
      <c r="AA156" s="184"/>
      <c r="AB156" s="513"/>
      <c r="AC156" s="513"/>
      <c r="AD156" s="513"/>
      <c r="AE156" s="513"/>
      <c r="AF156" s="184"/>
      <c r="AG156" s="184"/>
      <c r="AH156" s="184"/>
      <c r="AI156" s="514"/>
      <c r="AJ156" s="514"/>
    </row>
    <row r="157" spans="1:36" ht="15.6" customHeight="1" x14ac:dyDescent="0.25">
      <c r="A157" s="349">
        <v>2</v>
      </c>
      <c r="B157" s="208" t="s">
        <v>207</v>
      </c>
      <c r="C157" s="365" t="s">
        <v>208</v>
      </c>
      <c r="D157" s="456"/>
      <c r="E157" s="368"/>
      <c r="F157" s="368"/>
      <c r="G157" s="374"/>
      <c r="H157" s="381"/>
      <c r="I157" s="505"/>
      <c r="J157" s="449">
        <v>1417</v>
      </c>
      <c r="K157" s="371">
        <v>1</v>
      </c>
      <c r="L157" s="366">
        <v>93700</v>
      </c>
      <c r="M157" s="366">
        <f>M132</f>
        <v>97450</v>
      </c>
      <c r="N157" s="373"/>
      <c r="O157" s="373">
        <v>1.1000000000000001</v>
      </c>
      <c r="P157" s="198">
        <f>M157*K157*O157*12</f>
        <v>1286340.0000000002</v>
      </c>
      <c r="Q157" s="449"/>
      <c r="R157" s="373"/>
      <c r="S157" s="373"/>
      <c r="T157" s="373"/>
      <c r="U157" s="373"/>
      <c r="V157" s="373"/>
      <c r="W157" s="598"/>
      <c r="X157" s="257" t="e">
        <f>#REF!+#REF!+#REF!</f>
        <v>#REF!</v>
      </c>
      <c r="Z157" s="184"/>
      <c r="AA157" s="184"/>
      <c r="AB157" s="513"/>
      <c r="AC157" s="513"/>
      <c r="AD157" s="513"/>
      <c r="AE157" s="513"/>
      <c r="AF157" s="184"/>
      <c r="AG157" s="184"/>
      <c r="AH157" s="184"/>
      <c r="AI157" s="514"/>
      <c r="AJ157" s="514"/>
    </row>
    <row r="158" spans="1:36" s="203" customFormat="1" ht="16.149999999999999" customHeight="1" thickBot="1" x14ac:dyDescent="0.3">
      <c r="A158" s="426"/>
      <c r="B158" s="427" t="s">
        <v>1</v>
      </c>
      <c r="C158" s="428"/>
      <c r="D158" s="457"/>
      <c r="E158" s="429">
        <f>SUM(E153:E157)</f>
        <v>2</v>
      </c>
      <c r="F158" s="618"/>
      <c r="G158" s="430"/>
      <c r="H158" s="431"/>
      <c r="I158" s="635"/>
      <c r="J158" s="450"/>
      <c r="K158" s="429">
        <f>SUM(K153:K157)</f>
        <v>2</v>
      </c>
      <c r="L158" s="628"/>
      <c r="M158" s="434"/>
      <c r="N158" s="435"/>
      <c r="O158" s="435"/>
      <c r="P158" s="624"/>
      <c r="Q158" s="501"/>
      <c r="R158" s="429">
        <f>SUM(R153:R157)</f>
        <v>1</v>
      </c>
      <c r="S158" s="630"/>
      <c r="T158" s="435"/>
      <c r="U158" s="435"/>
      <c r="V158" s="435"/>
      <c r="W158" s="637"/>
      <c r="X158" s="601" t="e">
        <f>SUM(X153:X157)</f>
        <v>#REF!</v>
      </c>
      <c r="Z158" s="522"/>
      <c r="AA158" s="522"/>
      <c r="AB158" s="523"/>
      <c r="AC158" s="522"/>
      <c r="AD158" s="522"/>
      <c r="AE158" s="523"/>
      <c r="AF158" s="522"/>
      <c r="AG158" s="522"/>
      <c r="AH158" s="523"/>
      <c r="AI158" s="524"/>
      <c r="AJ158" s="525"/>
    </row>
    <row r="159" spans="1:36" ht="15.6" customHeight="1" x14ac:dyDescent="0.25">
      <c r="J159" s="237"/>
    </row>
    <row r="160" spans="1:36" ht="15.6" customHeight="1" x14ac:dyDescent="0.25"/>
    <row r="161" spans="2:10" ht="15.6" customHeight="1" x14ac:dyDescent="0.25">
      <c r="C161" s="329" t="s">
        <v>220</v>
      </c>
      <c r="D161" s="335">
        <v>2015</v>
      </c>
      <c r="E161" s="328"/>
      <c r="F161" s="328">
        <v>2016</v>
      </c>
      <c r="G161" s="336"/>
      <c r="H161" s="335">
        <v>2017</v>
      </c>
      <c r="I161" s="327">
        <v>2018</v>
      </c>
      <c r="J161" s="175">
        <v>2019</v>
      </c>
    </row>
    <row r="162" spans="2:10" ht="15.6" customHeight="1" x14ac:dyDescent="0.25">
      <c r="C162" s="329" t="s">
        <v>221</v>
      </c>
      <c r="D162" s="335"/>
      <c r="E162" s="328"/>
      <c r="F162" s="328"/>
      <c r="G162" s="336"/>
      <c r="H162" s="337"/>
      <c r="I162" s="327"/>
      <c r="J162" s="175">
        <v>1.04</v>
      </c>
    </row>
    <row r="163" spans="2:10" ht="15.6" customHeight="1" x14ac:dyDescent="0.2">
      <c r="C163" s="162" t="s">
        <v>215</v>
      </c>
      <c r="D163" s="382">
        <v>60000</v>
      </c>
      <c r="E163" s="328">
        <v>1.05</v>
      </c>
      <c r="F163" s="327">
        <f>D163*E163</f>
        <v>63000</v>
      </c>
      <c r="G163" s="327"/>
      <c r="H163" s="382">
        <v>63000</v>
      </c>
      <c r="I163" s="327">
        <v>66200</v>
      </c>
      <c r="J163" s="175">
        <v>68850</v>
      </c>
    </row>
    <row r="164" spans="2:10" ht="15.6" customHeight="1" x14ac:dyDescent="0.2">
      <c r="C164" s="162" t="s">
        <v>216</v>
      </c>
      <c r="D164" s="382">
        <v>70000</v>
      </c>
      <c r="E164" s="328">
        <v>1.05</v>
      </c>
      <c r="F164" s="327">
        <f t="shared" ref="F164:F170" si="35">D164*E164</f>
        <v>73500</v>
      </c>
      <c r="G164" s="327"/>
      <c r="H164" s="382">
        <v>73500</v>
      </c>
      <c r="I164" s="327">
        <v>77200</v>
      </c>
      <c r="J164" s="175">
        <v>80290</v>
      </c>
    </row>
    <row r="165" spans="2:10" ht="15.6" customHeight="1" x14ac:dyDescent="0.2">
      <c r="C165" s="162" t="s">
        <v>217</v>
      </c>
      <c r="D165" s="382">
        <v>75000</v>
      </c>
      <c r="E165" s="328">
        <v>1.05</v>
      </c>
      <c r="F165" s="327">
        <f t="shared" si="35"/>
        <v>78750</v>
      </c>
      <c r="G165" s="327"/>
      <c r="H165" s="382">
        <v>78750</v>
      </c>
      <c r="I165" s="327">
        <v>82700</v>
      </c>
      <c r="J165" s="175">
        <v>86000</v>
      </c>
    </row>
    <row r="166" spans="2:10" ht="15.6" customHeight="1" x14ac:dyDescent="0.2">
      <c r="C166" s="162" t="s">
        <v>218</v>
      </c>
      <c r="D166" s="382">
        <v>80000</v>
      </c>
      <c r="E166" s="328">
        <v>1.05</v>
      </c>
      <c r="F166" s="327">
        <f t="shared" si="35"/>
        <v>84000</v>
      </c>
      <c r="G166" s="327"/>
      <c r="H166" s="382">
        <v>84000</v>
      </c>
      <c r="I166" s="327"/>
    </row>
    <row r="167" spans="2:10" ht="15.6" customHeight="1" x14ac:dyDescent="0.2">
      <c r="C167" s="162" t="s">
        <v>219</v>
      </c>
      <c r="D167" s="382">
        <v>85000</v>
      </c>
      <c r="E167" s="328">
        <v>1.05</v>
      </c>
      <c r="F167" s="327">
        <f t="shared" si="35"/>
        <v>89250</v>
      </c>
      <c r="G167" s="327"/>
      <c r="H167" s="382">
        <v>89250</v>
      </c>
      <c r="I167" s="327"/>
    </row>
    <row r="168" spans="2:10" ht="15.6" customHeight="1" x14ac:dyDescent="0.25">
      <c r="C168" s="329" t="s">
        <v>222</v>
      </c>
      <c r="D168" s="337"/>
      <c r="E168" s="328"/>
      <c r="F168" s="328"/>
      <c r="G168" s="336"/>
      <c r="H168" s="382"/>
      <c r="I168" s="327"/>
    </row>
    <row r="169" spans="2:10" ht="15.6" customHeight="1" x14ac:dyDescent="0.2">
      <c r="C169" s="162" t="s">
        <v>186</v>
      </c>
      <c r="D169" s="382">
        <v>60000</v>
      </c>
      <c r="E169" s="328">
        <v>1.05</v>
      </c>
      <c r="F169" s="327">
        <f t="shared" si="35"/>
        <v>63000</v>
      </c>
      <c r="G169" s="327"/>
      <c r="H169" s="382">
        <v>63000</v>
      </c>
      <c r="I169" s="327"/>
    </row>
    <row r="170" spans="2:10" ht="15.6" customHeight="1" x14ac:dyDescent="0.2">
      <c r="C170" s="162" t="s">
        <v>185</v>
      </c>
      <c r="D170" s="382">
        <v>65000</v>
      </c>
      <c r="E170" s="328">
        <v>1.05</v>
      </c>
      <c r="F170" s="327">
        <f t="shared" si="35"/>
        <v>68250</v>
      </c>
      <c r="G170" s="327"/>
      <c r="H170" s="382">
        <v>68250</v>
      </c>
      <c r="I170" s="327"/>
    </row>
    <row r="172" spans="2:10" x14ac:dyDescent="0.25">
      <c r="B172" s="588" t="s">
        <v>302</v>
      </c>
      <c r="C172" s="162" t="s">
        <v>289</v>
      </c>
      <c r="F172" s="163" t="s">
        <v>301</v>
      </c>
      <c r="G172" s="326" t="s">
        <v>300</v>
      </c>
      <c r="H172" s="451" t="s">
        <v>293</v>
      </c>
    </row>
    <row r="173" spans="2:10" x14ac:dyDescent="0.25">
      <c r="C173" s="329" t="s">
        <v>290</v>
      </c>
    </row>
    <row r="174" spans="2:10" x14ac:dyDescent="0.25">
      <c r="C174" s="162" t="s">
        <v>291</v>
      </c>
      <c r="F174" s="327">
        <v>66200</v>
      </c>
      <c r="G174" s="586">
        <v>68850</v>
      </c>
      <c r="H174" s="587">
        <f>(G174-F174)/F174</f>
        <v>4.0030211480362538E-2</v>
      </c>
    </row>
    <row r="175" spans="2:10" x14ac:dyDescent="0.25">
      <c r="C175" s="162" t="s">
        <v>292</v>
      </c>
      <c r="F175" s="327">
        <v>71700</v>
      </c>
      <c r="G175" s="586">
        <v>74570</v>
      </c>
      <c r="H175" s="587">
        <f>(G175-F175)/F175</f>
        <v>4.0027894002789402E-2</v>
      </c>
    </row>
    <row r="176" spans="2:10" ht="47.25" x14ac:dyDescent="0.25">
      <c r="C176" s="329" t="s">
        <v>299</v>
      </c>
      <c r="F176" s="327"/>
      <c r="G176" s="586"/>
      <c r="H176" s="337"/>
    </row>
    <row r="177" spans="3:8" x14ac:dyDescent="0.25">
      <c r="C177" s="162" t="s">
        <v>294</v>
      </c>
      <c r="F177" s="327">
        <v>66200</v>
      </c>
      <c r="G177" s="586">
        <v>68850</v>
      </c>
      <c r="H177" s="587">
        <f t="shared" ref="H177:H181" si="36">(G177-F177)/F177</f>
        <v>4.0030211480362538E-2</v>
      </c>
    </row>
    <row r="178" spans="3:8" x14ac:dyDescent="0.25">
      <c r="C178" s="162" t="s">
        <v>295</v>
      </c>
      <c r="F178" s="327">
        <v>77200</v>
      </c>
      <c r="G178" s="586">
        <v>80290</v>
      </c>
      <c r="H178" s="587">
        <f t="shared" si="36"/>
        <v>4.0025906735751293E-2</v>
      </c>
    </row>
    <row r="179" spans="3:8" x14ac:dyDescent="0.25">
      <c r="C179" s="162" t="s">
        <v>296</v>
      </c>
      <c r="F179" s="327">
        <v>82700</v>
      </c>
      <c r="G179" s="586">
        <v>86000</v>
      </c>
      <c r="H179" s="587">
        <f t="shared" si="36"/>
        <v>3.9903264812575577E-2</v>
      </c>
    </row>
    <row r="180" spans="3:8" x14ac:dyDescent="0.25">
      <c r="C180" s="162" t="s">
        <v>297</v>
      </c>
      <c r="F180" s="327">
        <v>88200</v>
      </c>
      <c r="G180" s="586">
        <v>91730</v>
      </c>
      <c r="H180" s="587">
        <f t="shared" si="36"/>
        <v>4.0022675736961451E-2</v>
      </c>
    </row>
    <row r="181" spans="3:8" x14ac:dyDescent="0.25">
      <c r="C181" s="162" t="s">
        <v>298</v>
      </c>
      <c r="F181" s="327">
        <v>93700</v>
      </c>
      <c r="G181" s="586">
        <v>97450</v>
      </c>
      <c r="H181" s="587">
        <f t="shared" si="36"/>
        <v>4.0021344717182494E-2</v>
      </c>
    </row>
  </sheetData>
  <autoFilter ref="A4:AB147" xr:uid="{00000000-0009-0000-0000-000003000000}"/>
  <mergeCells count="95">
    <mergeCell ref="X2:X4"/>
    <mergeCell ref="A2:A4"/>
    <mergeCell ref="B2:B4"/>
    <mergeCell ref="C2:C4"/>
    <mergeCell ref="D2:I2"/>
    <mergeCell ref="J2:P2"/>
    <mergeCell ref="O3:O4"/>
    <mergeCell ref="K3:K4"/>
    <mergeCell ref="L3:M3"/>
    <mergeCell ref="N3:N4"/>
    <mergeCell ref="Q2:W2"/>
    <mergeCell ref="Q3:Q4"/>
    <mergeCell ref="R3:R4"/>
    <mergeCell ref="S3:T3"/>
    <mergeCell ref="U3:U4"/>
    <mergeCell ref="V3:V4"/>
    <mergeCell ref="D3:D4"/>
    <mergeCell ref="E3:E4"/>
    <mergeCell ref="F3:G3"/>
    <mergeCell ref="H3:H4"/>
    <mergeCell ref="J3:J4"/>
    <mergeCell ref="A5:E5"/>
    <mergeCell ref="A8:A10"/>
    <mergeCell ref="B8:B10"/>
    <mergeCell ref="A11:A12"/>
    <mergeCell ref="B11:B12"/>
    <mergeCell ref="A6:A7"/>
    <mergeCell ref="B6:B7"/>
    <mergeCell ref="A13:A14"/>
    <mergeCell ref="B13:B14"/>
    <mergeCell ref="A15:A17"/>
    <mergeCell ref="B15:B17"/>
    <mergeCell ref="A18:A20"/>
    <mergeCell ref="B18:B20"/>
    <mergeCell ref="A22:A23"/>
    <mergeCell ref="B22:B23"/>
    <mergeCell ref="A24:A28"/>
    <mergeCell ref="B24:B28"/>
    <mergeCell ref="A29:A30"/>
    <mergeCell ref="B29:B30"/>
    <mergeCell ref="A32:A33"/>
    <mergeCell ref="B32:B33"/>
    <mergeCell ref="A35:A36"/>
    <mergeCell ref="B35:B36"/>
    <mergeCell ref="A41:A42"/>
    <mergeCell ref="B41:B42"/>
    <mergeCell ref="A50:A51"/>
    <mergeCell ref="B50:B51"/>
    <mergeCell ref="A54:A57"/>
    <mergeCell ref="B54:B57"/>
    <mergeCell ref="A58:A60"/>
    <mergeCell ref="B58:B60"/>
    <mergeCell ref="A61:A62"/>
    <mergeCell ref="B61:B62"/>
    <mergeCell ref="A65:A66"/>
    <mergeCell ref="B65:B66"/>
    <mergeCell ref="A67:A68"/>
    <mergeCell ref="B67:B68"/>
    <mergeCell ref="A69:A70"/>
    <mergeCell ref="B69:B70"/>
    <mergeCell ref="A71:A75"/>
    <mergeCell ref="B71:B75"/>
    <mergeCell ref="A76:A79"/>
    <mergeCell ref="B76:B79"/>
    <mergeCell ref="A80:A83"/>
    <mergeCell ref="B80:B83"/>
    <mergeCell ref="A84:A86"/>
    <mergeCell ref="B84:B86"/>
    <mergeCell ref="A88:A89"/>
    <mergeCell ref="B88:B89"/>
    <mergeCell ref="A90:A92"/>
    <mergeCell ref="B90:B92"/>
    <mergeCell ref="A93:A96"/>
    <mergeCell ref="B93:B96"/>
    <mergeCell ref="A99:A101"/>
    <mergeCell ref="B99:B101"/>
    <mergeCell ref="A102:A104"/>
    <mergeCell ref="B102:B104"/>
    <mergeCell ref="A105:A106"/>
    <mergeCell ref="B105:B106"/>
    <mergeCell ref="A108:A113"/>
    <mergeCell ref="B108:B113"/>
    <mergeCell ref="A114:A121"/>
    <mergeCell ref="B114:B121"/>
    <mergeCell ref="A122:A129"/>
    <mergeCell ref="B122:B129"/>
    <mergeCell ref="A130:A133"/>
    <mergeCell ref="B130:B133"/>
    <mergeCell ref="A153:A156"/>
    <mergeCell ref="B153:B156"/>
    <mergeCell ref="A134:A135"/>
    <mergeCell ref="B134:B135"/>
    <mergeCell ref="A137:E137"/>
    <mergeCell ref="A138:A143"/>
    <mergeCell ref="B138:B143"/>
  </mergeCells>
  <pageMargins left="0.15748031496062992" right="0" top="0.19685039370078741" bottom="0.19685039370078741" header="0.51181102362204722" footer="0.51181102362204722"/>
  <pageSetup paperSize="9" scale="53" fitToWidth="2" fitToHeight="2" orientation="portrait" r:id="rId1"/>
  <headerFooter alignWithMargins="0"/>
  <rowBreaks count="2" manualBreakCount="2">
    <brk id="46" max="43" man="1"/>
    <brk id="136" max="43" man="1"/>
  </rowBreaks>
  <colBreaks count="1" manualBreakCount="1">
    <brk id="9" min="1" max="144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8" tint="0.39997558519241921"/>
  </sheetPr>
  <dimension ref="A1:AD155"/>
  <sheetViews>
    <sheetView view="pageBreakPreview" zoomScale="70" zoomScaleNormal="70" zoomScaleSheetLayoutView="70" workbookViewId="0">
      <pane xSplit="3" ySplit="5" topLeftCell="D6" activePane="bottomRight" state="frozen"/>
      <selection pane="topRight" activeCell="E1" sqref="E1"/>
      <selection pane="bottomLeft" activeCell="A6" sqref="A6"/>
      <selection pane="bottomRight" activeCell="AA155" sqref="AA155"/>
    </sheetView>
  </sheetViews>
  <sheetFormatPr defaultColWidth="8.85546875" defaultRowHeight="15.75" x14ac:dyDescent="0.25"/>
  <cols>
    <col min="1" max="1" width="5.7109375" style="166" customWidth="1"/>
    <col min="2" max="2" width="42.7109375" style="162" customWidth="1"/>
    <col min="3" max="3" width="23.7109375" style="162" customWidth="1"/>
    <col min="4" max="4" width="7.42578125" style="451" customWidth="1"/>
    <col min="5" max="5" width="5.140625" style="164" customWidth="1"/>
    <col min="6" max="6" width="9" style="165" customWidth="1"/>
    <col min="7" max="8" width="6.28515625" style="376" customWidth="1"/>
    <col min="9" max="9" width="11.5703125" style="165" customWidth="1"/>
    <col min="10" max="10" width="15" style="165" customWidth="1"/>
    <col min="11" max="11" width="6.85546875" style="175" customWidth="1"/>
    <col min="12" max="12" width="5.42578125" style="166" customWidth="1"/>
    <col min="13" max="13" width="9" style="166" customWidth="1"/>
    <col min="14" max="16" width="6.28515625" style="175" customWidth="1"/>
    <col min="17" max="17" width="11.7109375" style="167" customWidth="1"/>
    <col min="18" max="18" width="15" style="168" customWidth="1"/>
    <col min="19" max="19" width="8.28515625" style="175" customWidth="1"/>
    <col min="20" max="20" width="5" style="175" customWidth="1"/>
    <col min="21" max="21" width="9.28515625" style="175" customWidth="1"/>
    <col min="22" max="23" width="6.140625" style="175" customWidth="1"/>
    <col min="24" max="24" width="10.140625" style="175" customWidth="1"/>
    <col min="25" max="25" width="13.7109375" style="175" customWidth="1"/>
    <col min="26" max="26" width="16.7109375" style="203" customWidth="1"/>
    <col min="27" max="27" width="16.28515625" style="175" customWidth="1"/>
    <col min="28" max="28" width="11.85546875" style="175" customWidth="1"/>
    <col min="29" max="30" width="21.85546875" style="175" customWidth="1"/>
    <col min="31" max="16384" width="8.85546875" style="175"/>
  </cols>
  <sheetData>
    <row r="1" spans="1:27" s="169" customFormat="1" ht="21.75" customHeight="1" thickBot="1" x14ac:dyDescent="0.3">
      <c r="A1" s="161" t="s">
        <v>262</v>
      </c>
      <c r="B1" s="161"/>
      <c r="C1" s="162"/>
      <c r="D1" s="451"/>
      <c r="E1" s="164"/>
      <c r="F1" s="165"/>
      <c r="G1" s="376"/>
      <c r="H1" s="376"/>
      <c r="I1" s="165"/>
      <c r="J1" s="165"/>
      <c r="K1" s="175"/>
      <c r="L1" s="166"/>
      <c r="M1" s="166"/>
      <c r="N1" s="175"/>
      <c r="O1" s="175"/>
      <c r="P1" s="175"/>
      <c r="Q1" s="167"/>
      <c r="R1" s="168"/>
      <c r="V1" s="175"/>
      <c r="W1" s="175"/>
      <c r="Z1" s="161"/>
      <c r="AA1" s="439"/>
    </row>
    <row r="2" spans="1:27" s="204" customFormat="1" ht="30.6" customHeight="1" x14ac:dyDescent="0.2">
      <c r="A2" s="1182" t="s">
        <v>168</v>
      </c>
      <c r="B2" s="1185" t="s">
        <v>167</v>
      </c>
      <c r="C2" s="1188" t="s">
        <v>165</v>
      </c>
      <c r="D2" s="1176" t="s">
        <v>164</v>
      </c>
      <c r="E2" s="1177"/>
      <c r="F2" s="1177"/>
      <c r="G2" s="1177"/>
      <c r="H2" s="1177"/>
      <c r="I2" s="1177"/>
      <c r="J2" s="1177"/>
      <c r="K2" s="1176" t="s">
        <v>163</v>
      </c>
      <c r="L2" s="1177"/>
      <c r="M2" s="1177"/>
      <c r="N2" s="1177"/>
      <c r="O2" s="1177"/>
      <c r="P2" s="1177"/>
      <c r="Q2" s="1177"/>
      <c r="R2" s="1178"/>
      <c r="S2" s="1179" t="s">
        <v>162</v>
      </c>
      <c r="T2" s="1180"/>
      <c r="U2" s="1180"/>
      <c r="V2" s="1180"/>
      <c r="W2" s="1180"/>
      <c r="X2" s="1180"/>
      <c r="Y2" s="1181"/>
      <c r="Z2" s="1170" t="s">
        <v>263</v>
      </c>
    </row>
    <row r="3" spans="1:27" s="205" customFormat="1" ht="48" customHeight="1" x14ac:dyDescent="0.2">
      <c r="A3" s="1183"/>
      <c r="B3" s="1186"/>
      <c r="C3" s="1189"/>
      <c r="D3" s="1147" t="s">
        <v>156</v>
      </c>
      <c r="E3" s="1149" t="s">
        <v>206</v>
      </c>
      <c r="F3" s="1173" t="s">
        <v>178</v>
      </c>
      <c r="G3" s="1149" t="s">
        <v>158</v>
      </c>
      <c r="H3" s="1149" t="s">
        <v>236</v>
      </c>
      <c r="I3" s="1168" t="s">
        <v>224</v>
      </c>
      <c r="J3" s="1169"/>
      <c r="K3" s="1152" t="s">
        <v>156</v>
      </c>
      <c r="L3" s="1149" t="s">
        <v>206</v>
      </c>
      <c r="M3" s="1175" t="s">
        <v>178</v>
      </c>
      <c r="N3" s="1167" t="s">
        <v>158</v>
      </c>
      <c r="O3" s="1149" t="s">
        <v>236</v>
      </c>
      <c r="P3" s="1167" t="s">
        <v>157</v>
      </c>
      <c r="Q3" s="1191" t="s">
        <v>224</v>
      </c>
      <c r="R3" s="1192"/>
      <c r="S3" s="1147" t="s">
        <v>156</v>
      </c>
      <c r="T3" s="1149" t="s">
        <v>206</v>
      </c>
      <c r="U3" s="1173" t="s">
        <v>178</v>
      </c>
      <c r="V3" s="1149" t="s">
        <v>158</v>
      </c>
      <c r="W3" s="1149" t="s">
        <v>236</v>
      </c>
      <c r="X3" s="1168" t="s">
        <v>224</v>
      </c>
      <c r="Y3" s="1169"/>
      <c r="Z3" s="1171"/>
    </row>
    <row r="4" spans="1:27" s="205" customFormat="1" ht="70.150000000000006" customHeight="1" thickBot="1" x14ac:dyDescent="0.25">
      <c r="A4" s="1184"/>
      <c r="B4" s="1187"/>
      <c r="C4" s="1190"/>
      <c r="D4" s="1148"/>
      <c r="E4" s="1150"/>
      <c r="F4" s="1174"/>
      <c r="G4" s="1150"/>
      <c r="H4" s="1150"/>
      <c r="I4" s="383" t="s">
        <v>238</v>
      </c>
      <c r="J4" s="468" t="s">
        <v>261</v>
      </c>
      <c r="K4" s="1148"/>
      <c r="L4" s="1150"/>
      <c r="M4" s="1174"/>
      <c r="N4" s="1150"/>
      <c r="O4" s="1150"/>
      <c r="P4" s="1150"/>
      <c r="Q4" s="383" t="s">
        <v>238</v>
      </c>
      <c r="R4" s="469" t="s">
        <v>261</v>
      </c>
      <c r="S4" s="1148"/>
      <c r="T4" s="1150"/>
      <c r="U4" s="1174"/>
      <c r="V4" s="1150"/>
      <c r="W4" s="1150"/>
      <c r="X4" s="383" t="s">
        <v>238</v>
      </c>
      <c r="Y4" s="469" t="s">
        <v>261</v>
      </c>
      <c r="Z4" s="1172"/>
    </row>
    <row r="5" spans="1:27" ht="16.5" thickBot="1" x14ac:dyDescent="0.3">
      <c r="A5" s="1142" t="s">
        <v>146</v>
      </c>
      <c r="B5" s="1143"/>
      <c r="C5" s="1143"/>
      <c r="D5" s="1143"/>
      <c r="E5" s="1143"/>
      <c r="F5" s="212"/>
      <c r="G5" s="377"/>
      <c r="H5" s="377"/>
      <c r="I5" s="170"/>
      <c r="J5" s="332">
        <v>11</v>
      </c>
      <c r="K5" s="440"/>
      <c r="L5" s="173"/>
      <c r="M5" s="173"/>
      <c r="N5" s="386"/>
      <c r="O5" s="386"/>
      <c r="P5" s="386"/>
      <c r="Q5" s="174"/>
      <c r="R5" s="393">
        <v>11</v>
      </c>
      <c r="S5" s="253"/>
      <c r="T5" s="254"/>
      <c r="U5" s="254"/>
      <c r="V5" s="254"/>
      <c r="W5" s="254"/>
      <c r="X5" s="254"/>
      <c r="Y5" s="393">
        <v>11</v>
      </c>
      <c r="Z5" s="347"/>
    </row>
    <row r="6" spans="1:27" s="184" customFormat="1" ht="18.75" customHeight="1" x14ac:dyDescent="0.2">
      <c r="A6" s="1145">
        <v>1</v>
      </c>
      <c r="B6" s="1146" t="s">
        <v>145</v>
      </c>
      <c r="C6" s="176" t="s">
        <v>144</v>
      </c>
      <c r="D6" s="378" t="s">
        <v>185</v>
      </c>
      <c r="E6" s="305">
        <v>1</v>
      </c>
      <c r="F6" s="177">
        <v>65000</v>
      </c>
      <c r="G6" s="378">
        <v>1.05</v>
      </c>
      <c r="H6" s="378">
        <v>1.05</v>
      </c>
      <c r="I6" s="338">
        <f t="shared" ref="I6:I43" si="0">ROUND(F6*G6*E6*H6,-2)</f>
        <v>71700</v>
      </c>
      <c r="J6" s="355">
        <f>I6*$J$5</f>
        <v>788700</v>
      </c>
      <c r="K6" s="441"/>
      <c r="L6" s="305"/>
      <c r="M6" s="305"/>
      <c r="N6" s="378"/>
      <c r="O6" s="378"/>
      <c r="P6" s="378"/>
      <c r="Q6" s="307"/>
      <c r="R6" s="394"/>
      <c r="S6" s="309"/>
      <c r="T6" s="305"/>
      <c r="U6" s="305"/>
      <c r="V6" s="378"/>
      <c r="W6" s="378"/>
      <c r="X6" s="305"/>
      <c r="Y6" s="463"/>
      <c r="Z6" s="340">
        <f>J6+R6+Y6</f>
        <v>788700</v>
      </c>
    </row>
    <row r="7" spans="1:27" s="184" customFormat="1" ht="18.75" customHeight="1" x14ac:dyDescent="0.2">
      <c r="A7" s="1135"/>
      <c r="B7" s="1046"/>
      <c r="C7" s="179" t="s">
        <v>143</v>
      </c>
      <c r="D7" s="315" t="s">
        <v>185</v>
      </c>
      <c r="E7" s="311">
        <v>1</v>
      </c>
      <c r="F7" s="185">
        <v>65000</v>
      </c>
      <c r="G7" s="315">
        <v>1.05</v>
      </c>
      <c r="H7" s="315">
        <v>1.05</v>
      </c>
      <c r="I7" s="339">
        <f t="shared" si="0"/>
        <v>71700</v>
      </c>
      <c r="J7" s="356">
        <f>I7*$J$5</f>
        <v>788700</v>
      </c>
      <c r="K7" s="442"/>
      <c r="L7" s="311"/>
      <c r="M7" s="311"/>
      <c r="N7" s="315"/>
      <c r="O7" s="315"/>
      <c r="P7" s="315"/>
      <c r="Q7" s="200"/>
      <c r="R7" s="345"/>
      <c r="S7" s="303"/>
      <c r="T7" s="311"/>
      <c r="U7" s="311"/>
      <c r="V7" s="315"/>
      <c r="W7" s="315"/>
      <c r="X7" s="311"/>
      <c r="Y7" s="464"/>
      <c r="Z7" s="342">
        <f>J7+R7+Y7</f>
        <v>788700</v>
      </c>
    </row>
    <row r="8" spans="1:27" s="184" customFormat="1" ht="18.75" customHeight="1" x14ac:dyDescent="0.2">
      <c r="A8" s="1135">
        <v>2</v>
      </c>
      <c r="B8" s="1046" t="s">
        <v>142</v>
      </c>
      <c r="C8" s="179" t="s">
        <v>141</v>
      </c>
      <c r="D8" s="315" t="s">
        <v>185</v>
      </c>
      <c r="E8" s="311">
        <v>1</v>
      </c>
      <c r="F8" s="185">
        <v>65000</v>
      </c>
      <c r="G8" s="315">
        <v>1.05</v>
      </c>
      <c r="H8" s="315">
        <v>1.05</v>
      </c>
      <c r="I8" s="339">
        <f t="shared" si="0"/>
        <v>71700</v>
      </c>
      <c r="J8" s="356">
        <f t="shared" ref="J8:J43" si="1">I8*$J$5</f>
        <v>788700</v>
      </c>
      <c r="K8" s="442"/>
      <c r="L8" s="311"/>
      <c r="M8" s="311"/>
      <c r="N8" s="315"/>
      <c r="O8" s="315"/>
      <c r="P8" s="315"/>
      <c r="Q8" s="200"/>
      <c r="R8" s="345"/>
      <c r="S8" s="303"/>
      <c r="T8" s="311"/>
      <c r="U8" s="311"/>
      <c r="V8" s="315"/>
      <c r="W8" s="315"/>
      <c r="X8" s="311"/>
      <c r="Y8" s="464"/>
      <c r="Z8" s="342">
        <f t="shared" ref="Z8:Z43" si="2">J8+R8+Y8</f>
        <v>788700</v>
      </c>
    </row>
    <row r="9" spans="1:27" s="184" customFormat="1" ht="18.75" customHeight="1" x14ac:dyDescent="0.2">
      <c r="A9" s="1135"/>
      <c r="B9" s="1046"/>
      <c r="C9" s="179" t="s">
        <v>140</v>
      </c>
      <c r="D9" s="315" t="s">
        <v>185</v>
      </c>
      <c r="E9" s="311">
        <v>1</v>
      </c>
      <c r="F9" s="185">
        <v>65000</v>
      </c>
      <c r="G9" s="315">
        <v>1.05</v>
      </c>
      <c r="H9" s="315">
        <v>1.05</v>
      </c>
      <c r="I9" s="339">
        <f t="shared" si="0"/>
        <v>71700</v>
      </c>
      <c r="J9" s="356">
        <f t="shared" si="1"/>
        <v>788700</v>
      </c>
      <c r="K9" s="442"/>
      <c r="L9" s="311"/>
      <c r="M9" s="311"/>
      <c r="N9" s="315"/>
      <c r="O9" s="315"/>
      <c r="P9" s="315"/>
      <c r="Q9" s="200"/>
      <c r="R9" s="345"/>
      <c r="S9" s="303"/>
      <c r="T9" s="311"/>
      <c r="U9" s="311"/>
      <c r="V9" s="315"/>
      <c r="W9" s="315"/>
      <c r="X9" s="311"/>
      <c r="Y9" s="464"/>
      <c r="Z9" s="342">
        <f t="shared" si="2"/>
        <v>788700</v>
      </c>
    </row>
    <row r="10" spans="1:27" s="184" customFormat="1" ht="18.75" customHeight="1" x14ac:dyDescent="0.2">
      <c r="A10" s="1135"/>
      <c r="B10" s="1046"/>
      <c r="C10" s="179" t="s">
        <v>138</v>
      </c>
      <c r="D10" s="315" t="s">
        <v>186</v>
      </c>
      <c r="E10" s="311">
        <v>1</v>
      </c>
      <c r="F10" s="185">
        <v>60000</v>
      </c>
      <c r="G10" s="315">
        <v>1.05</v>
      </c>
      <c r="H10" s="315">
        <v>1.05</v>
      </c>
      <c r="I10" s="339">
        <f t="shared" si="0"/>
        <v>66200</v>
      </c>
      <c r="J10" s="356">
        <f t="shared" si="1"/>
        <v>728200</v>
      </c>
      <c r="K10" s="442"/>
      <c r="L10" s="311"/>
      <c r="M10" s="311"/>
      <c r="N10" s="315"/>
      <c r="O10" s="315"/>
      <c r="P10" s="315"/>
      <c r="Q10" s="200"/>
      <c r="R10" s="345"/>
      <c r="S10" s="303"/>
      <c r="T10" s="311"/>
      <c r="U10" s="311"/>
      <c r="V10" s="315"/>
      <c r="W10" s="315"/>
      <c r="X10" s="311"/>
      <c r="Y10" s="464"/>
      <c r="Z10" s="342">
        <f t="shared" si="2"/>
        <v>728200</v>
      </c>
    </row>
    <row r="11" spans="1:27" s="184" customFormat="1" ht="18.75" customHeight="1" x14ac:dyDescent="0.2">
      <c r="A11" s="1135">
        <v>3</v>
      </c>
      <c r="B11" s="1046" t="s">
        <v>137</v>
      </c>
      <c r="C11" s="179" t="s">
        <v>136</v>
      </c>
      <c r="D11" s="315" t="s">
        <v>185</v>
      </c>
      <c r="E11" s="311">
        <v>1</v>
      </c>
      <c r="F11" s="185">
        <v>65000</v>
      </c>
      <c r="G11" s="315">
        <v>1.05</v>
      </c>
      <c r="H11" s="315">
        <v>1.05</v>
      </c>
      <c r="I11" s="339">
        <f t="shared" si="0"/>
        <v>71700</v>
      </c>
      <c r="J11" s="356">
        <f t="shared" si="1"/>
        <v>788700</v>
      </c>
      <c r="K11" s="442"/>
      <c r="L11" s="311"/>
      <c r="M11" s="311"/>
      <c r="N11" s="315"/>
      <c r="O11" s="315"/>
      <c r="P11" s="315"/>
      <c r="Q11" s="200"/>
      <c r="R11" s="345"/>
      <c r="S11" s="303"/>
      <c r="T11" s="311"/>
      <c r="U11" s="311"/>
      <c r="V11" s="315"/>
      <c r="W11" s="315"/>
      <c r="X11" s="311"/>
      <c r="Y11" s="464"/>
      <c r="Z11" s="342">
        <f t="shared" si="2"/>
        <v>788700</v>
      </c>
    </row>
    <row r="12" spans="1:27" s="184" customFormat="1" ht="18.75" customHeight="1" x14ac:dyDescent="0.2">
      <c r="A12" s="1135"/>
      <c r="B12" s="1046"/>
      <c r="C12" s="179" t="s">
        <v>135</v>
      </c>
      <c r="D12" s="315" t="s">
        <v>185</v>
      </c>
      <c r="E12" s="311">
        <v>1</v>
      </c>
      <c r="F12" s="185">
        <v>65000</v>
      </c>
      <c r="G12" s="315">
        <v>1.05</v>
      </c>
      <c r="H12" s="315">
        <v>1.05</v>
      </c>
      <c r="I12" s="339">
        <f t="shared" si="0"/>
        <v>71700</v>
      </c>
      <c r="J12" s="356">
        <f t="shared" si="1"/>
        <v>788700</v>
      </c>
      <c r="K12" s="442"/>
      <c r="L12" s="311"/>
      <c r="M12" s="311"/>
      <c r="N12" s="315"/>
      <c r="O12" s="315"/>
      <c r="P12" s="315"/>
      <c r="Q12" s="200"/>
      <c r="R12" s="345"/>
      <c r="S12" s="303"/>
      <c r="T12" s="311"/>
      <c r="U12" s="311"/>
      <c r="V12" s="315"/>
      <c r="W12" s="315"/>
      <c r="X12" s="311"/>
      <c r="Y12" s="464"/>
      <c r="Z12" s="342">
        <f t="shared" si="2"/>
        <v>788700</v>
      </c>
    </row>
    <row r="13" spans="1:27" s="184" customFormat="1" ht="18.75" customHeight="1" x14ac:dyDescent="0.2">
      <c r="A13" s="1135">
        <v>4</v>
      </c>
      <c r="B13" s="1046" t="s">
        <v>134</v>
      </c>
      <c r="C13" s="179" t="s">
        <v>133</v>
      </c>
      <c r="D13" s="315" t="s">
        <v>185</v>
      </c>
      <c r="E13" s="311">
        <v>1</v>
      </c>
      <c r="F13" s="185">
        <v>65000</v>
      </c>
      <c r="G13" s="315">
        <v>1.05</v>
      </c>
      <c r="H13" s="315">
        <v>1.05</v>
      </c>
      <c r="I13" s="339">
        <f t="shared" si="0"/>
        <v>71700</v>
      </c>
      <c r="J13" s="356">
        <f t="shared" si="1"/>
        <v>788700</v>
      </c>
      <c r="K13" s="442"/>
      <c r="L13" s="311"/>
      <c r="M13" s="311"/>
      <c r="N13" s="315"/>
      <c r="O13" s="315"/>
      <c r="P13" s="315"/>
      <c r="Q13" s="200"/>
      <c r="R13" s="345"/>
      <c r="S13" s="303"/>
      <c r="T13" s="311"/>
      <c r="U13" s="311"/>
      <c r="V13" s="315"/>
      <c r="W13" s="315"/>
      <c r="X13" s="311"/>
      <c r="Y13" s="464"/>
      <c r="Z13" s="342">
        <f t="shared" si="2"/>
        <v>788700</v>
      </c>
    </row>
    <row r="14" spans="1:27" s="184" customFormat="1" ht="18.75" customHeight="1" x14ac:dyDescent="0.2">
      <c r="A14" s="1135"/>
      <c r="B14" s="1046"/>
      <c r="C14" s="179" t="s">
        <v>132</v>
      </c>
      <c r="D14" s="315" t="s">
        <v>185</v>
      </c>
      <c r="E14" s="311">
        <v>1</v>
      </c>
      <c r="F14" s="185">
        <v>65000</v>
      </c>
      <c r="G14" s="315">
        <v>1.05</v>
      </c>
      <c r="H14" s="315">
        <v>1.05</v>
      </c>
      <c r="I14" s="339">
        <f t="shared" si="0"/>
        <v>71700</v>
      </c>
      <c r="J14" s="356">
        <f t="shared" si="1"/>
        <v>788700</v>
      </c>
      <c r="K14" s="442"/>
      <c r="L14" s="311"/>
      <c r="M14" s="311"/>
      <c r="N14" s="315"/>
      <c r="O14" s="315"/>
      <c r="P14" s="315"/>
      <c r="Q14" s="200"/>
      <c r="R14" s="345"/>
      <c r="S14" s="303"/>
      <c r="T14" s="311"/>
      <c r="U14" s="311"/>
      <c r="V14" s="315"/>
      <c r="W14" s="315"/>
      <c r="X14" s="311"/>
      <c r="Y14" s="464"/>
      <c r="Z14" s="342">
        <f t="shared" si="2"/>
        <v>788700</v>
      </c>
    </row>
    <row r="15" spans="1:27" s="184" customFormat="1" ht="18.75" customHeight="1" x14ac:dyDescent="0.2">
      <c r="A15" s="1135">
        <v>5</v>
      </c>
      <c r="B15" s="1046" t="s">
        <v>131</v>
      </c>
      <c r="C15" s="179" t="s">
        <v>130</v>
      </c>
      <c r="D15" s="315" t="s">
        <v>185</v>
      </c>
      <c r="E15" s="311">
        <v>1</v>
      </c>
      <c r="F15" s="185">
        <v>65000</v>
      </c>
      <c r="G15" s="315">
        <v>1.05</v>
      </c>
      <c r="H15" s="315">
        <v>1.05</v>
      </c>
      <c r="I15" s="339">
        <f t="shared" si="0"/>
        <v>71700</v>
      </c>
      <c r="J15" s="356">
        <f t="shared" si="1"/>
        <v>788700</v>
      </c>
      <c r="K15" s="442"/>
      <c r="L15" s="311"/>
      <c r="M15" s="311"/>
      <c r="N15" s="315"/>
      <c r="O15" s="315"/>
      <c r="P15" s="315"/>
      <c r="Q15" s="200"/>
      <c r="R15" s="345"/>
      <c r="S15" s="303"/>
      <c r="T15" s="311"/>
      <c r="U15" s="311"/>
      <c r="V15" s="315"/>
      <c r="W15" s="315"/>
      <c r="X15" s="311"/>
      <c r="Y15" s="464"/>
      <c r="Z15" s="342">
        <f t="shared" si="2"/>
        <v>788700</v>
      </c>
    </row>
    <row r="16" spans="1:27" s="184" customFormat="1" ht="18.75" customHeight="1" x14ac:dyDescent="0.2">
      <c r="A16" s="1135"/>
      <c r="B16" s="1046"/>
      <c r="C16" s="179" t="s">
        <v>129</v>
      </c>
      <c r="D16" s="315" t="s">
        <v>185</v>
      </c>
      <c r="E16" s="311">
        <v>1</v>
      </c>
      <c r="F16" s="185">
        <v>65000</v>
      </c>
      <c r="G16" s="315">
        <v>1.05</v>
      </c>
      <c r="H16" s="315">
        <v>1.05</v>
      </c>
      <c r="I16" s="339">
        <f t="shared" si="0"/>
        <v>71700</v>
      </c>
      <c r="J16" s="356">
        <f t="shared" si="1"/>
        <v>788700</v>
      </c>
      <c r="K16" s="442"/>
      <c r="L16" s="311"/>
      <c r="M16" s="311"/>
      <c r="N16" s="315"/>
      <c r="O16" s="315"/>
      <c r="P16" s="315"/>
      <c r="Q16" s="200"/>
      <c r="R16" s="345"/>
      <c r="S16" s="303"/>
      <c r="T16" s="311"/>
      <c r="U16" s="311"/>
      <c r="V16" s="315"/>
      <c r="W16" s="315"/>
      <c r="X16" s="311"/>
      <c r="Y16" s="464"/>
      <c r="Z16" s="342">
        <f t="shared" si="2"/>
        <v>788700</v>
      </c>
    </row>
    <row r="17" spans="1:26" s="184" customFormat="1" ht="18.75" customHeight="1" x14ac:dyDescent="0.2">
      <c r="A17" s="1135"/>
      <c r="B17" s="1046"/>
      <c r="C17" s="179" t="s">
        <v>128</v>
      </c>
      <c r="D17" s="315" t="s">
        <v>186</v>
      </c>
      <c r="E17" s="311">
        <v>1</v>
      </c>
      <c r="F17" s="185">
        <v>60000</v>
      </c>
      <c r="G17" s="315">
        <v>1.05</v>
      </c>
      <c r="H17" s="315">
        <v>1.05</v>
      </c>
      <c r="I17" s="339">
        <f t="shared" si="0"/>
        <v>66200</v>
      </c>
      <c r="J17" s="356">
        <f t="shared" si="1"/>
        <v>728200</v>
      </c>
      <c r="K17" s="442"/>
      <c r="L17" s="311"/>
      <c r="M17" s="311"/>
      <c r="N17" s="315"/>
      <c r="O17" s="315"/>
      <c r="P17" s="315"/>
      <c r="Q17" s="200"/>
      <c r="R17" s="345"/>
      <c r="S17" s="303"/>
      <c r="T17" s="311"/>
      <c r="U17" s="311"/>
      <c r="V17" s="315"/>
      <c r="W17" s="315"/>
      <c r="X17" s="311"/>
      <c r="Y17" s="464"/>
      <c r="Z17" s="342">
        <f t="shared" si="2"/>
        <v>728200</v>
      </c>
    </row>
    <row r="18" spans="1:26" s="184" customFormat="1" ht="18.600000000000001" customHeight="1" x14ac:dyDescent="0.2">
      <c r="A18" s="1135">
        <v>6</v>
      </c>
      <c r="B18" s="1046" t="s">
        <v>127</v>
      </c>
      <c r="C18" s="179" t="s">
        <v>126</v>
      </c>
      <c r="D18" s="315" t="s">
        <v>185</v>
      </c>
      <c r="E18" s="311">
        <v>1</v>
      </c>
      <c r="F18" s="185">
        <v>65000</v>
      </c>
      <c r="G18" s="315">
        <v>1.05</v>
      </c>
      <c r="H18" s="315">
        <v>1.05</v>
      </c>
      <c r="I18" s="339">
        <f t="shared" si="0"/>
        <v>71700</v>
      </c>
      <c r="J18" s="356">
        <f t="shared" si="1"/>
        <v>788700</v>
      </c>
      <c r="K18" s="442"/>
      <c r="L18" s="311"/>
      <c r="M18" s="311"/>
      <c r="N18" s="315"/>
      <c r="O18" s="315"/>
      <c r="P18" s="315"/>
      <c r="Q18" s="200"/>
      <c r="R18" s="345"/>
      <c r="S18" s="303"/>
      <c r="T18" s="311"/>
      <c r="U18" s="311"/>
      <c r="V18" s="315"/>
      <c r="W18" s="315"/>
      <c r="X18" s="311"/>
      <c r="Y18" s="464"/>
      <c r="Z18" s="342">
        <f t="shared" si="2"/>
        <v>788700</v>
      </c>
    </row>
    <row r="19" spans="1:26" s="184" customFormat="1" ht="18.75" customHeight="1" x14ac:dyDescent="0.2">
      <c r="A19" s="1135"/>
      <c r="B19" s="1046"/>
      <c r="C19" s="179" t="s">
        <v>125</v>
      </c>
      <c r="D19" s="315" t="s">
        <v>186</v>
      </c>
      <c r="E19" s="311">
        <v>0.5</v>
      </c>
      <c r="F19" s="185">
        <v>60000</v>
      </c>
      <c r="G19" s="315">
        <v>1.05</v>
      </c>
      <c r="H19" s="315">
        <v>1.05</v>
      </c>
      <c r="I19" s="339">
        <f t="shared" si="0"/>
        <v>33100</v>
      </c>
      <c r="J19" s="356">
        <f t="shared" si="1"/>
        <v>364100</v>
      </c>
      <c r="K19" s="304"/>
      <c r="L19" s="311"/>
      <c r="M19" s="311"/>
      <c r="N19" s="315"/>
      <c r="O19" s="315"/>
      <c r="P19" s="315"/>
      <c r="Q19" s="200"/>
      <c r="R19" s="345"/>
      <c r="S19" s="303"/>
      <c r="T19" s="311"/>
      <c r="U19" s="311"/>
      <c r="V19" s="315"/>
      <c r="W19" s="315"/>
      <c r="X19" s="311"/>
      <c r="Y19" s="464"/>
      <c r="Z19" s="342">
        <f t="shared" si="2"/>
        <v>364100</v>
      </c>
    </row>
    <row r="20" spans="1:26" s="184" customFormat="1" ht="18.75" customHeight="1" x14ac:dyDescent="0.2">
      <c r="A20" s="1135"/>
      <c r="B20" s="1046"/>
      <c r="C20" s="179" t="s">
        <v>124</v>
      </c>
      <c r="D20" s="315" t="s">
        <v>186</v>
      </c>
      <c r="E20" s="311">
        <v>0.5</v>
      </c>
      <c r="F20" s="185">
        <v>60000</v>
      </c>
      <c r="G20" s="315">
        <v>1.05</v>
      </c>
      <c r="H20" s="315">
        <v>1.05</v>
      </c>
      <c r="I20" s="339">
        <f t="shared" si="0"/>
        <v>33100</v>
      </c>
      <c r="J20" s="356">
        <f t="shared" si="1"/>
        <v>364100</v>
      </c>
      <c r="K20" s="304"/>
      <c r="L20" s="311"/>
      <c r="M20" s="311"/>
      <c r="N20" s="315"/>
      <c r="O20" s="315"/>
      <c r="P20" s="315"/>
      <c r="Q20" s="200"/>
      <c r="R20" s="345"/>
      <c r="S20" s="303"/>
      <c r="T20" s="311"/>
      <c r="U20" s="311"/>
      <c r="V20" s="315"/>
      <c r="W20" s="315"/>
      <c r="X20" s="311"/>
      <c r="Y20" s="464"/>
      <c r="Z20" s="342">
        <f t="shared" si="2"/>
        <v>364100</v>
      </c>
    </row>
    <row r="21" spans="1:26" s="184" customFormat="1" ht="18.75" customHeight="1" x14ac:dyDescent="0.2">
      <c r="A21" s="182">
        <v>7</v>
      </c>
      <c r="B21" s="458" t="s">
        <v>123</v>
      </c>
      <c r="C21" s="179" t="s">
        <v>122</v>
      </c>
      <c r="D21" s="315" t="s">
        <v>185</v>
      </c>
      <c r="E21" s="311">
        <v>1</v>
      </c>
      <c r="F21" s="185">
        <v>65000</v>
      </c>
      <c r="G21" s="315">
        <v>1.05</v>
      </c>
      <c r="H21" s="315">
        <v>1.05</v>
      </c>
      <c r="I21" s="339">
        <f t="shared" si="0"/>
        <v>71700</v>
      </c>
      <c r="J21" s="356">
        <f t="shared" si="1"/>
        <v>788700</v>
      </c>
      <c r="K21" s="442"/>
      <c r="L21" s="311"/>
      <c r="M21" s="311"/>
      <c r="N21" s="315"/>
      <c r="O21" s="315"/>
      <c r="P21" s="315"/>
      <c r="Q21" s="200"/>
      <c r="R21" s="345"/>
      <c r="S21" s="303"/>
      <c r="T21" s="311"/>
      <c r="U21" s="311"/>
      <c r="V21" s="315"/>
      <c r="W21" s="315"/>
      <c r="X21" s="311"/>
      <c r="Y21" s="464"/>
      <c r="Z21" s="342">
        <f t="shared" si="2"/>
        <v>788700</v>
      </c>
    </row>
    <row r="22" spans="1:26" s="184" customFormat="1" ht="18.75" customHeight="1" x14ac:dyDescent="0.2">
      <c r="A22" s="1135">
        <v>8</v>
      </c>
      <c r="B22" s="1046" t="s">
        <v>121</v>
      </c>
      <c r="C22" s="179" t="s">
        <v>120</v>
      </c>
      <c r="D22" s="315" t="s">
        <v>185</v>
      </c>
      <c r="E22" s="311">
        <v>1</v>
      </c>
      <c r="F22" s="185">
        <v>65000</v>
      </c>
      <c r="G22" s="315">
        <v>1.05</v>
      </c>
      <c r="H22" s="315">
        <v>1.05</v>
      </c>
      <c r="I22" s="339">
        <f t="shared" si="0"/>
        <v>71700</v>
      </c>
      <c r="J22" s="356">
        <f t="shared" si="1"/>
        <v>788700</v>
      </c>
      <c r="K22" s="442"/>
      <c r="L22" s="311"/>
      <c r="M22" s="311"/>
      <c r="N22" s="315"/>
      <c r="O22" s="315"/>
      <c r="P22" s="315"/>
      <c r="Q22" s="200"/>
      <c r="R22" s="345"/>
      <c r="S22" s="303"/>
      <c r="T22" s="311"/>
      <c r="U22" s="311"/>
      <c r="V22" s="315"/>
      <c r="W22" s="315"/>
      <c r="X22" s="311"/>
      <c r="Y22" s="464"/>
      <c r="Z22" s="342">
        <f t="shared" si="2"/>
        <v>788700</v>
      </c>
    </row>
    <row r="23" spans="1:26" s="184" customFormat="1" ht="18.75" customHeight="1" x14ac:dyDescent="0.2">
      <c r="A23" s="1135"/>
      <c r="B23" s="1046"/>
      <c r="C23" s="179" t="s">
        <v>119</v>
      </c>
      <c r="D23" s="315" t="s">
        <v>185</v>
      </c>
      <c r="E23" s="311">
        <v>1</v>
      </c>
      <c r="F23" s="185">
        <v>65000</v>
      </c>
      <c r="G23" s="315">
        <v>1.05</v>
      </c>
      <c r="H23" s="315">
        <v>1.05</v>
      </c>
      <c r="I23" s="339">
        <f t="shared" si="0"/>
        <v>71700</v>
      </c>
      <c r="J23" s="356">
        <f t="shared" si="1"/>
        <v>788700</v>
      </c>
      <c r="K23" s="442"/>
      <c r="L23" s="311"/>
      <c r="M23" s="311"/>
      <c r="N23" s="315"/>
      <c r="O23" s="315"/>
      <c r="P23" s="315"/>
      <c r="Q23" s="200"/>
      <c r="R23" s="345"/>
      <c r="S23" s="303"/>
      <c r="T23" s="311"/>
      <c r="U23" s="311"/>
      <c r="V23" s="315"/>
      <c r="W23" s="315"/>
      <c r="X23" s="311"/>
      <c r="Y23" s="464"/>
      <c r="Z23" s="342">
        <f t="shared" si="2"/>
        <v>788700</v>
      </c>
    </row>
    <row r="24" spans="1:26" s="184" customFormat="1" ht="18.75" customHeight="1" x14ac:dyDescent="0.2">
      <c r="A24" s="1136">
        <v>9</v>
      </c>
      <c r="B24" s="1139" t="s">
        <v>118</v>
      </c>
      <c r="C24" s="179" t="s">
        <v>117</v>
      </c>
      <c r="D24" s="315" t="s">
        <v>186</v>
      </c>
      <c r="E24" s="311">
        <v>1</v>
      </c>
      <c r="F24" s="185">
        <v>60000</v>
      </c>
      <c r="G24" s="315">
        <v>1.05</v>
      </c>
      <c r="H24" s="315">
        <v>1.05</v>
      </c>
      <c r="I24" s="339">
        <f t="shared" si="0"/>
        <v>66200</v>
      </c>
      <c r="J24" s="356">
        <f t="shared" si="1"/>
        <v>728200</v>
      </c>
      <c r="K24" s="442"/>
      <c r="L24" s="311"/>
      <c r="M24" s="311"/>
      <c r="N24" s="315"/>
      <c r="O24" s="315"/>
      <c r="P24" s="315"/>
      <c r="Q24" s="200"/>
      <c r="R24" s="345"/>
      <c r="S24" s="303"/>
      <c r="T24" s="311"/>
      <c r="U24" s="311"/>
      <c r="V24" s="315"/>
      <c r="W24" s="315"/>
      <c r="X24" s="311"/>
      <c r="Y24" s="464"/>
      <c r="Z24" s="342">
        <f t="shared" si="2"/>
        <v>728200</v>
      </c>
    </row>
    <row r="25" spans="1:26" s="184" customFormat="1" ht="18.75" customHeight="1" x14ac:dyDescent="0.2">
      <c r="A25" s="1137"/>
      <c r="B25" s="1140"/>
      <c r="C25" s="179" t="s">
        <v>116</v>
      </c>
      <c r="D25" s="315" t="s">
        <v>185</v>
      </c>
      <c r="E25" s="311">
        <v>1</v>
      </c>
      <c r="F25" s="185">
        <v>65000</v>
      </c>
      <c r="G25" s="315">
        <v>1.05</v>
      </c>
      <c r="H25" s="315">
        <v>1.05</v>
      </c>
      <c r="I25" s="339">
        <f t="shared" si="0"/>
        <v>71700</v>
      </c>
      <c r="J25" s="356">
        <f t="shared" si="1"/>
        <v>788700</v>
      </c>
      <c r="K25" s="442"/>
      <c r="L25" s="311"/>
      <c r="M25" s="311"/>
      <c r="N25" s="315"/>
      <c r="O25" s="315"/>
      <c r="P25" s="315"/>
      <c r="Q25" s="200"/>
      <c r="R25" s="345"/>
      <c r="S25" s="303"/>
      <c r="T25" s="311"/>
      <c r="U25" s="311"/>
      <c r="V25" s="315"/>
      <c r="W25" s="315"/>
      <c r="X25" s="311"/>
      <c r="Y25" s="464"/>
      <c r="Z25" s="342">
        <f t="shared" si="2"/>
        <v>788700</v>
      </c>
    </row>
    <row r="26" spans="1:26" s="184" customFormat="1" ht="18.75" customHeight="1" x14ac:dyDescent="0.2">
      <c r="A26" s="1137"/>
      <c r="B26" s="1140"/>
      <c r="C26" s="179" t="s">
        <v>115</v>
      </c>
      <c r="D26" s="315" t="s">
        <v>185</v>
      </c>
      <c r="E26" s="311">
        <v>1</v>
      </c>
      <c r="F26" s="185">
        <v>65000</v>
      </c>
      <c r="G26" s="315">
        <v>1.05</v>
      </c>
      <c r="H26" s="315">
        <v>1.05</v>
      </c>
      <c r="I26" s="339">
        <f t="shared" si="0"/>
        <v>71700</v>
      </c>
      <c r="J26" s="356">
        <f t="shared" si="1"/>
        <v>788700</v>
      </c>
      <c r="K26" s="442"/>
      <c r="L26" s="311"/>
      <c r="M26" s="311"/>
      <c r="N26" s="315"/>
      <c r="O26" s="315"/>
      <c r="P26" s="315"/>
      <c r="Q26" s="200"/>
      <c r="R26" s="345"/>
      <c r="S26" s="303"/>
      <c r="T26" s="311"/>
      <c r="U26" s="311"/>
      <c r="V26" s="315"/>
      <c r="W26" s="315"/>
      <c r="X26" s="311"/>
      <c r="Y26" s="464"/>
      <c r="Z26" s="342">
        <f t="shared" si="2"/>
        <v>788700</v>
      </c>
    </row>
    <row r="27" spans="1:26" s="184" customFormat="1" ht="18.75" customHeight="1" x14ac:dyDescent="0.2">
      <c r="A27" s="1137"/>
      <c r="B27" s="1140"/>
      <c r="C27" s="179" t="s">
        <v>188</v>
      </c>
      <c r="D27" s="315" t="s">
        <v>185</v>
      </c>
      <c r="E27" s="311">
        <v>1</v>
      </c>
      <c r="F27" s="185">
        <v>65000</v>
      </c>
      <c r="G27" s="315">
        <v>1.05</v>
      </c>
      <c r="H27" s="315">
        <v>1.05</v>
      </c>
      <c r="I27" s="339">
        <f t="shared" si="0"/>
        <v>71700</v>
      </c>
      <c r="J27" s="356">
        <f t="shared" si="1"/>
        <v>788700</v>
      </c>
      <c r="K27" s="442"/>
      <c r="L27" s="311"/>
      <c r="M27" s="311"/>
      <c r="N27" s="315"/>
      <c r="O27" s="315"/>
      <c r="P27" s="315"/>
      <c r="Q27" s="200"/>
      <c r="R27" s="345"/>
      <c r="S27" s="303"/>
      <c r="T27" s="311"/>
      <c r="U27" s="311"/>
      <c r="V27" s="315"/>
      <c r="W27" s="315"/>
      <c r="X27" s="311"/>
      <c r="Y27" s="464"/>
      <c r="Z27" s="342">
        <f t="shared" si="2"/>
        <v>788700</v>
      </c>
    </row>
    <row r="28" spans="1:26" s="184" customFormat="1" ht="18.75" customHeight="1" x14ac:dyDescent="0.2">
      <c r="A28" s="1138"/>
      <c r="B28" s="1141"/>
      <c r="C28" s="179" t="s">
        <v>187</v>
      </c>
      <c r="D28" s="315" t="s">
        <v>185</v>
      </c>
      <c r="E28" s="311">
        <v>1</v>
      </c>
      <c r="F28" s="185">
        <v>65000</v>
      </c>
      <c r="G28" s="315">
        <v>1.05</v>
      </c>
      <c r="H28" s="315">
        <v>1.05</v>
      </c>
      <c r="I28" s="339">
        <f t="shared" si="0"/>
        <v>71700</v>
      </c>
      <c r="J28" s="356">
        <f t="shared" si="1"/>
        <v>788700</v>
      </c>
      <c r="K28" s="442"/>
      <c r="L28" s="311"/>
      <c r="M28" s="311"/>
      <c r="N28" s="315"/>
      <c r="O28" s="315"/>
      <c r="P28" s="315"/>
      <c r="Q28" s="200"/>
      <c r="R28" s="345"/>
      <c r="S28" s="303"/>
      <c r="T28" s="311"/>
      <c r="U28" s="311"/>
      <c r="V28" s="315"/>
      <c r="W28" s="315"/>
      <c r="X28" s="311"/>
      <c r="Y28" s="464"/>
      <c r="Z28" s="342">
        <f t="shared" si="2"/>
        <v>788700</v>
      </c>
    </row>
    <row r="29" spans="1:26" s="184" customFormat="1" ht="18.75" customHeight="1" x14ac:dyDescent="0.2">
      <c r="A29" s="1135">
        <v>10</v>
      </c>
      <c r="B29" s="1046" t="s">
        <v>114</v>
      </c>
      <c r="C29" s="179" t="s">
        <v>113</v>
      </c>
      <c r="D29" s="315" t="s">
        <v>185</v>
      </c>
      <c r="E29" s="311">
        <v>1</v>
      </c>
      <c r="F29" s="185">
        <v>65000</v>
      </c>
      <c r="G29" s="315">
        <v>1.05</v>
      </c>
      <c r="H29" s="315">
        <v>1.05</v>
      </c>
      <c r="I29" s="339">
        <f t="shared" si="0"/>
        <v>71700</v>
      </c>
      <c r="J29" s="356">
        <f t="shared" si="1"/>
        <v>788700</v>
      </c>
      <c r="K29" s="442"/>
      <c r="L29" s="311"/>
      <c r="M29" s="311"/>
      <c r="N29" s="315"/>
      <c r="O29" s="315"/>
      <c r="P29" s="315"/>
      <c r="Q29" s="200"/>
      <c r="R29" s="345"/>
      <c r="S29" s="303"/>
      <c r="T29" s="311"/>
      <c r="U29" s="311"/>
      <c r="V29" s="315"/>
      <c r="W29" s="315"/>
      <c r="X29" s="311"/>
      <c r="Y29" s="464"/>
      <c r="Z29" s="342">
        <f t="shared" si="2"/>
        <v>788700</v>
      </c>
    </row>
    <row r="30" spans="1:26" s="184" customFormat="1" ht="18.75" customHeight="1" x14ac:dyDescent="0.2">
      <c r="A30" s="1135"/>
      <c r="B30" s="1046"/>
      <c r="C30" s="179" t="s">
        <v>112</v>
      </c>
      <c r="D30" s="315" t="s">
        <v>185</v>
      </c>
      <c r="E30" s="311">
        <v>1</v>
      </c>
      <c r="F30" s="185">
        <v>65000</v>
      </c>
      <c r="G30" s="315">
        <v>1.05</v>
      </c>
      <c r="H30" s="315">
        <v>1.05</v>
      </c>
      <c r="I30" s="339">
        <f t="shared" si="0"/>
        <v>71700</v>
      </c>
      <c r="J30" s="356">
        <f t="shared" si="1"/>
        <v>788700</v>
      </c>
      <c r="K30" s="442"/>
      <c r="L30" s="311"/>
      <c r="M30" s="311"/>
      <c r="N30" s="315"/>
      <c r="O30" s="315"/>
      <c r="P30" s="315"/>
      <c r="Q30" s="200"/>
      <c r="R30" s="345"/>
      <c r="S30" s="303"/>
      <c r="T30" s="311"/>
      <c r="U30" s="311"/>
      <c r="V30" s="315"/>
      <c r="W30" s="315"/>
      <c r="X30" s="311"/>
      <c r="Y30" s="464"/>
      <c r="Z30" s="342">
        <f t="shared" si="2"/>
        <v>788700</v>
      </c>
    </row>
    <row r="31" spans="1:26" s="184" customFormat="1" ht="18.75" customHeight="1" x14ac:dyDescent="0.2">
      <c r="A31" s="182">
        <v>11</v>
      </c>
      <c r="B31" s="459" t="s">
        <v>111</v>
      </c>
      <c r="C31" s="179" t="s">
        <v>110</v>
      </c>
      <c r="D31" s="315" t="s">
        <v>185</v>
      </c>
      <c r="E31" s="311">
        <v>1</v>
      </c>
      <c r="F31" s="185">
        <v>65000</v>
      </c>
      <c r="G31" s="315">
        <v>1.05</v>
      </c>
      <c r="H31" s="315">
        <v>1.05</v>
      </c>
      <c r="I31" s="339">
        <f t="shared" si="0"/>
        <v>71700</v>
      </c>
      <c r="J31" s="356">
        <f t="shared" si="1"/>
        <v>788700</v>
      </c>
      <c r="K31" s="442"/>
      <c r="L31" s="311"/>
      <c r="M31" s="311"/>
      <c r="N31" s="315"/>
      <c r="O31" s="315"/>
      <c r="P31" s="315"/>
      <c r="Q31" s="200"/>
      <c r="R31" s="345"/>
      <c r="S31" s="303"/>
      <c r="T31" s="311"/>
      <c r="U31" s="311"/>
      <c r="V31" s="315"/>
      <c r="W31" s="315"/>
      <c r="X31" s="311"/>
      <c r="Y31" s="464"/>
      <c r="Z31" s="342">
        <f t="shared" si="2"/>
        <v>788700</v>
      </c>
    </row>
    <row r="32" spans="1:26" s="184" customFormat="1" ht="18.75" customHeight="1" x14ac:dyDescent="0.2">
      <c r="A32" s="1134">
        <v>12</v>
      </c>
      <c r="B32" s="1046" t="s">
        <v>109</v>
      </c>
      <c r="C32" s="179" t="s">
        <v>108</v>
      </c>
      <c r="D32" s="315" t="s">
        <v>185</v>
      </c>
      <c r="E32" s="311">
        <v>1</v>
      </c>
      <c r="F32" s="185">
        <v>65000</v>
      </c>
      <c r="G32" s="315">
        <v>1.05</v>
      </c>
      <c r="H32" s="315">
        <v>1.05</v>
      </c>
      <c r="I32" s="339">
        <f t="shared" si="0"/>
        <v>71700</v>
      </c>
      <c r="J32" s="356">
        <f t="shared" si="1"/>
        <v>788700</v>
      </c>
      <c r="K32" s="442"/>
      <c r="L32" s="311"/>
      <c r="M32" s="311"/>
      <c r="N32" s="315"/>
      <c r="O32" s="315"/>
      <c r="P32" s="315"/>
      <c r="Q32" s="200"/>
      <c r="R32" s="345"/>
      <c r="S32" s="303"/>
      <c r="T32" s="311"/>
      <c r="U32" s="311"/>
      <c r="V32" s="315"/>
      <c r="W32" s="315"/>
      <c r="X32" s="311"/>
      <c r="Y32" s="464"/>
      <c r="Z32" s="342">
        <f t="shared" si="2"/>
        <v>788700</v>
      </c>
    </row>
    <row r="33" spans="1:29" s="184" customFormat="1" ht="18.75" customHeight="1" x14ac:dyDescent="0.2">
      <c r="A33" s="1134"/>
      <c r="B33" s="1046"/>
      <c r="C33" s="179" t="s">
        <v>107</v>
      </c>
      <c r="D33" s="315" t="s">
        <v>185</v>
      </c>
      <c r="E33" s="311">
        <v>1</v>
      </c>
      <c r="F33" s="185">
        <v>65000</v>
      </c>
      <c r="G33" s="315">
        <v>1.05</v>
      </c>
      <c r="H33" s="315">
        <v>1.05</v>
      </c>
      <c r="I33" s="339">
        <f t="shared" si="0"/>
        <v>71700</v>
      </c>
      <c r="J33" s="356">
        <f t="shared" si="1"/>
        <v>788700</v>
      </c>
      <c r="K33" s="442"/>
      <c r="L33" s="311"/>
      <c r="M33" s="311"/>
      <c r="N33" s="315"/>
      <c r="O33" s="315"/>
      <c r="P33" s="315"/>
      <c r="Q33" s="200"/>
      <c r="R33" s="345"/>
      <c r="S33" s="303"/>
      <c r="T33" s="311"/>
      <c r="U33" s="311"/>
      <c r="V33" s="315"/>
      <c r="W33" s="315"/>
      <c r="X33" s="311"/>
      <c r="Y33" s="464"/>
      <c r="Z33" s="342">
        <f t="shared" si="2"/>
        <v>788700</v>
      </c>
    </row>
    <row r="34" spans="1:29" s="184" customFormat="1" ht="18.75" customHeight="1" x14ac:dyDescent="0.2">
      <c r="A34" s="182">
        <v>13</v>
      </c>
      <c r="B34" s="459" t="s">
        <v>106</v>
      </c>
      <c r="C34" s="179" t="s">
        <v>105</v>
      </c>
      <c r="D34" s="315" t="s">
        <v>185</v>
      </c>
      <c r="E34" s="311">
        <v>1</v>
      </c>
      <c r="F34" s="185">
        <v>65000</v>
      </c>
      <c r="G34" s="315">
        <v>1.05</v>
      </c>
      <c r="H34" s="315">
        <v>1.05</v>
      </c>
      <c r="I34" s="339">
        <f t="shared" si="0"/>
        <v>71700</v>
      </c>
      <c r="J34" s="356">
        <f t="shared" si="1"/>
        <v>788700</v>
      </c>
      <c r="K34" s="442"/>
      <c r="L34" s="311"/>
      <c r="M34" s="311"/>
      <c r="N34" s="315"/>
      <c r="O34" s="315"/>
      <c r="P34" s="315"/>
      <c r="Q34" s="200"/>
      <c r="R34" s="345"/>
      <c r="S34" s="303"/>
      <c r="T34" s="311"/>
      <c r="U34" s="311"/>
      <c r="V34" s="315"/>
      <c r="W34" s="315"/>
      <c r="X34" s="311"/>
      <c r="Y34" s="464"/>
      <c r="Z34" s="342">
        <f t="shared" si="2"/>
        <v>788700</v>
      </c>
    </row>
    <row r="35" spans="1:29" s="184" customFormat="1" ht="18.75" customHeight="1" x14ac:dyDescent="0.2">
      <c r="A35" s="182">
        <v>14</v>
      </c>
      <c r="B35" s="459" t="s">
        <v>104</v>
      </c>
      <c r="C35" s="179" t="s">
        <v>226</v>
      </c>
      <c r="D35" s="315" t="s">
        <v>185</v>
      </c>
      <c r="E35" s="311">
        <v>1</v>
      </c>
      <c r="F35" s="185">
        <v>65000</v>
      </c>
      <c r="G35" s="315">
        <v>1.05</v>
      </c>
      <c r="H35" s="315">
        <v>1.05</v>
      </c>
      <c r="I35" s="339">
        <f t="shared" si="0"/>
        <v>71700</v>
      </c>
      <c r="J35" s="356">
        <f t="shared" si="1"/>
        <v>788700</v>
      </c>
      <c r="K35" s="442"/>
      <c r="L35" s="311"/>
      <c r="M35" s="311"/>
      <c r="N35" s="315"/>
      <c r="O35" s="315"/>
      <c r="P35" s="315"/>
      <c r="Q35" s="200"/>
      <c r="R35" s="345"/>
      <c r="S35" s="303"/>
      <c r="T35" s="311"/>
      <c r="U35" s="311"/>
      <c r="V35" s="315"/>
      <c r="W35" s="315"/>
      <c r="X35" s="311"/>
      <c r="Y35" s="464"/>
      <c r="Z35" s="342">
        <f t="shared" si="2"/>
        <v>788700</v>
      </c>
    </row>
    <row r="36" spans="1:29" s="184" customFormat="1" ht="18.75" customHeight="1" x14ac:dyDescent="0.2">
      <c r="A36" s="182">
        <v>15</v>
      </c>
      <c r="B36" s="459" t="s">
        <v>234</v>
      </c>
      <c r="C36" s="179" t="s">
        <v>235</v>
      </c>
      <c r="D36" s="315" t="s">
        <v>185</v>
      </c>
      <c r="E36" s="311">
        <v>1</v>
      </c>
      <c r="F36" s="185">
        <v>65000</v>
      </c>
      <c r="G36" s="315">
        <v>1.05</v>
      </c>
      <c r="H36" s="315">
        <v>1.05</v>
      </c>
      <c r="I36" s="339">
        <f t="shared" si="0"/>
        <v>71700</v>
      </c>
      <c r="J36" s="356">
        <f t="shared" si="1"/>
        <v>788700</v>
      </c>
      <c r="K36" s="442"/>
      <c r="L36" s="311"/>
      <c r="M36" s="311"/>
      <c r="N36" s="315"/>
      <c r="O36" s="315"/>
      <c r="P36" s="315"/>
      <c r="Q36" s="200"/>
      <c r="R36" s="345"/>
      <c r="S36" s="303"/>
      <c r="T36" s="311"/>
      <c r="U36" s="311"/>
      <c r="V36" s="315"/>
      <c r="W36" s="315"/>
      <c r="X36" s="311"/>
      <c r="Y36" s="464"/>
      <c r="Z36" s="342">
        <f t="shared" si="2"/>
        <v>788700</v>
      </c>
    </row>
    <row r="37" spans="1:29" s="184" customFormat="1" ht="18.75" customHeight="1" x14ac:dyDescent="0.2">
      <c r="A37" s="182">
        <v>16</v>
      </c>
      <c r="B37" s="459" t="s">
        <v>102</v>
      </c>
      <c r="C37" s="179" t="s">
        <v>100</v>
      </c>
      <c r="D37" s="315" t="s">
        <v>185</v>
      </c>
      <c r="E37" s="311">
        <v>1</v>
      </c>
      <c r="F37" s="185">
        <v>65000</v>
      </c>
      <c r="G37" s="315">
        <v>1.05</v>
      </c>
      <c r="H37" s="315">
        <v>1.05</v>
      </c>
      <c r="I37" s="339">
        <f t="shared" si="0"/>
        <v>71700</v>
      </c>
      <c r="J37" s="356">
        <f t="shared" si="1"/>
        <v>788700</v>
      </c>
      <c r="K37" s="442"/>
      <c r="L37" s="311"/>
      <c r="M37" s="311"/>
      <c r="N37" s="315"/>
      <c r="O37" s="315"/>
      <c r="P37" s="315"/>
      <c r="Q37" s="200"/>
      <c r="R37" s="345"/>
      <c r="S37" s="303"/>
      <c r="T37" s="311"/>
      <c r="U37" s="311"/>
      <c r="V37" s="315"/>
      <c r="W37" s="315"/>
      <c r="X37" s="311"/>
      <c r="Y37" s="464"/>
      <c r="Z37" s="342">
        <f t="shared" si="2"/>
        <v>788700</v>
      </c>
    </row>
    <row r="38" spans="1:29" s="184" customFormat="1" ht="18.75" customHeight="1" x14ac:dyDescent="0.2">
      <c r="A38" s="182">
        <v>17</v>
      </c>
      <c r="B38" s="459" t="s">
        <v>99</v>
      </c>
      <c r="C38" s="179" t="s">
        <v>98</v>
      </c>
      <c r="D38" s="315" t="s">
        <v>185</v>
      </c>
      <c r="E38" s="311">
        <v>1</v>
      </c>
      <c r="F38" s="185">
        <v>65000</v>
      </c>
      <c r="G38" s="315">
        <v>1.05</v>
      </c>
      <c r="H38" s="315">
        <v>1.05</v>
      </c>
      <c r="I38" s="339">
        <f t="shared" si="0"/>
        <v>71700</v>
      </c>
      <c r="J38" s="356">
        <f t="shared" si="1"/>
        <v>788700</v>
      </c>
      <c r="K38" s="442"/>
      <c r="L38" s="311"/>
      <c r="M38" s="311"/>
      <c r="N38" s="315"/>
      <c r="O38" s="315"/>
      <c r="P38" s="315"/>
      <c r="Q38" s="200"/>
      <c r="R38" s="345"/>
      <c r="S38" s="303"/>
      <c r="T38" s="311"/>
      <c r="U38" s="311"/>
      <c r="V38" s="315"/>
      <c r="W38" s="315"/>
      <c r="X38" s="311"/>
      <c r="Y38" s="464"/>
      <c r="Z38" s="342">
        <f t="shared" si="2"/>
        <v>788700</v>
      </c>
    </row>
    <row r="39" spans="1:29" s="184" customFormat="1" ht="18.75" customHeight="1" x14ac:dyDescent="0.2">
      <c r="A39" s="182">
        <v>18</v>
      </c>
      <c r="B39" s="459" t="s">
        <v>97</v>
      </c>
      <c r="C39" s="179" t="s">
        <v>200</v>
      </c>
      <c r="D39" s="315" t="s">
        <v>185</v>
      </c>
      <c r="E39" s="311">
        <v>1</v>
      </c>
      <c r="F39" s="185">
        <v>65000</v>
      </c>
      <c r="G39" s="315">
        <v>1.05</v>
      </c>
      <c r="H39" s="315">
        <v>1.05</v>
      </c>
      <c r="I39" s="339">
        <f t="shared" si="0"/>
        <v>71700</v>
      </c>
      <c r="J39" s="356">
        <f t="shared" si="1"/>
        <v>788700</v>
      </c>
      <c r="K39" s="442"/>
      <c r="L39" s="311"/>
      <c r="M39" s="311"/>
      <c r="N39" s="315"/>
      <c r="O39" s="315"/>
      <c r="P39" s="315"/>
      <c r="Q39" s="200"/>
      <c r="R39" s="345"/>
      <c r="S39" s="303"/>
      <c r="T39" s="311"/>
      <c r="U39" s="311"/>
      <c r="V39" s="315"/>
      <c r="W39" s="315"/>
      <c r="X39" s="311"/>
      <c r="Y39" s="464"/>
      <c r="Z39" s="342">
        <f t="shared" si="2"/>
        <v>788700</v>
      </c>
    </row>
    <row r="40" spans="1:29" s="184" customFormat="1" ht="18.75" customHeight="1" x14ac:dyDescent="0.2">
      <c r="A40" s="182">
        <v>19</v>
      </c>
      <c r="B40" s="459" t="s">
        <v>227</v>
      </c>
      <c r="C40" s="179" t="s">
        <v>228</v>
      </c>
      <c r="D40" s="315" t="s">
        <v>185</v>
      </c>
      <c r="E40" s="311">
        <v>1</v>
      </c>
      <c r="F40" s="185">
        <v>65000</v>
      </c>
      <c r="G40" s="315">
        <v>1.05</v>
      </c>
      <c r="H40" s="315">
        <v>1.05</v>
      </c>
      <c r="I40" s="339">
        <f t="shared" si="0"/>
        <v>71700</v>
      </c>
      <c r="J40" s="356">
        <f t="shared" si="1"/>
        <v>788700</v>
      </c>
      <c r="K40" s="442"/>
      <c r="L40" s="311"/>
      <c r="M40" s="311"/>
      <c r="N40" s="315"/>
      <c r="O40" s="315"/>
      <c r="P40" s="315"/>
      <c r="Q40" s="200"/>
      <c r="R40" s="345"/>
      <c r="S40" s="303"/>
      <c r="T40" s="311"/>
      <c r="U40" s="311"/>
      <c r="V40" s="315"/>
      <c r="W40" s="315"/>
      <c r="X40" s="311"/>
      <c r="Y40" s="464"/>
      <c r="Z40" s="342">
        <f t="shared" si="2"/>
        <v>788700</v>
      </c>
    </row>
    <row r="41" spans="1:29" s="184" customFormat="1" ht="18.75" customHeight="1" x14ac:dyDescent="0.2">
      <c r="A41" s="182">
        <v>20</v>
      </c>
      <c r="B41" s="459" t="s">
        <v>229</v>
      </c>
      <c r="C41" s="179" t="s">
        <v>230</v>
      </c>
      <c r="D41" s="315" t="s">
        <v>185</v>
      </c>
      <c r="E41" s="311">
        <v>1</v>
      </c>
      <c r="F41" s="185">
        <v>65000</v>
      </c>
      <c r="G41" s="315">
        <v>1.05</v>
      </c>
      <c r="H41" s="315">
        <v>1.05</v>
      </c>
      <c r="I41" s="339">
        <f t="shared" si="0"/>
        <v>71700</v>
      </c>
      <c r="J41" s="356">
        <f t="shared" si="1"/>
        <v>788700</v>
      </c>
      <c r="K41" s="442"/>
      <c r="L41" s="311"/>
      <c r="M41" s="311"/>
      <c r="N41" s="315"/>
      <c r="O41" s="315"/>
      <c r="P41" s="315"/>
      <c r="Q41" s="200"/>
      <c r="R41" s="345"/>
      <c r="S41" s="303"/>
      <c r="T41" s="311"/>
      <c r="U41" s="311"/>
      <c r="V41" s="315"/>
      <c r="W41" s="315"/>
      <c r="X41" s="311"/>
      <c r="Y41" s="464"/>
      <c r="Z41" s="342">
        <f t="shared" si="2"/>
        <v>788700</v>
      </c>
    </row>
    <row r="42" spans="1:29" s="184" customFormat="1" ht="18.75" customHeight="1" x14ac:dyDescent="0.2">
      <c r="A42" s="1193">
        <v>21</v>
      </c>
      <c r="B42" s="1073" t="s">
        <v>231</v>
      </c>
      <c r="C42" s="179" t="s">
        <v>232</v>
      </c>
      <c r="D42" s="315" t="s">
        <v>185</v>
      </c>
      <c r="E42" s="311">
        <v>1</v>
      </c>
      <c r="F42" s="185">
        <v>65000</v>
      </c>
      <c r="G42" s="315">
        <v>1.05</v>
      </c>
      <c r="H42" s="315">
        <v>1.05</v>
      </c>
      <c r="I42" s="339">
        <f t="shared" si="0"/>
        <v>71700</v>
      </c>
      <c r="J42" s="356">
        <f t="shared" si="1"/>
        <v>788700</v>
      </c>
      <c r="K42" s="442"/>
      <c r="L42" s="311"/>
      <c r="M42" s="311"/>
      <c r="N42" s="315"/>
      <c r="O42" s="315"/>
      <c r="P42" s="315"/>
      <c r="Q42" s="200"/>
      <c r="R42" s="345"/>
      <c r="S42" s="303"/>
      <c r="T42" s="311"/>
      <c r="U42" s="311"/>
      <c r="V42" s="315"/>
      <c r="W42" s="315"/>
      <c r="X42" s="311"/>
      <c r="Y42" s="464"/>
      <c r="Z42" s="342">
        <f t="shared" si="2"/>
        <v>788700</v>
      </c>
    </row>
    <row r="43" spans="1:29" s="184" customFormat="1" ht="18.75" customHeight="1" x14ac:dyDescent="0.2">
      <c r="A43" s="1194"/>
      <c r="B43" s="1074"/>
      <c r="C43" s="179" t="s">
        <v>233</v>
      </c>
      <c r="D43" s="315" t="s">
        <v>185</v>
      </c>
      <c r="E43" s="311">
        <v>1</v>
      </c>
      <c r="F43" s="185">
        <v>65000</v>
      </c>
      <c r="G43" s="315">
        <v>1.05</v>
      </c>
      <c r="H43" s="315">
        <v>1.05</v>
      </c>
      <c r="I43" s="339">
        <f t="shared" si="0"/>
        <v>71700</v>
      </c>
      <c r="J43" s="356">
        <f t="shared" si="1"/>
        <v>788700</v>
      </c>
      <c r="K43" s="442"/>
      <c r="L43" s="311"/>
      <c r="M43" s="311"/>
      <c r="N43" s="315"/>
      <c r="O43" s="315"/>
      <c r="P43" s="315"/>
      <c r="Q43" s="200"/>
      <c r="R43" s="345"/>
      <c r="S43" s="303"/>
      <c r="T43" s="311"/>
      <c r="U43" s="311"/>
      <c r="V43" s="315"/>
      <c r="W43" s="315"/>
      <c r="X43" s="311"/>
      <c r="Y43" s="464"/>
      <c r="Z43" s="342">
        <f t="shared" si="2"/>
        <v>788700</v>
      </c>
    </row>
    <row r="44" spans="1:29" s="189" customFormat="1" ht="18.75" customHeight="1" x14ac:dyDescent="0.2">
      <c r="A44" s="396"/>
      <c r="B44" s="460" t="s">
        <v>1</v>
      </c>
      <c r="C44" s="398"/>
      <c r="D44" s="400"/>
      <c r="E44" s="399">
        <f>SUM(E6:E43)</f>
        <v>37</v>
      </c>
      <c r="F44" s="399"/>
      <c r="G44" s="400"/>
      <c r="H44" s="400"/>
      <c r="I44" s="399"/>
      <c r="J44" s="401">
        <f>SUM(J6:J43)</f>
        <v>28939900</v>
      </c>
      <c r="K44" s="443"/>
      <c r="L44" s="399"/>
      <c r="M44" s="399"/>
      <c r="N44" s="400"/>
      <c r="O44" s="400"/>
      <c r="P44" s="400"/>
      <c r="Q44" s="399"/>
      <c r="R44" s="403"/>
      <c r="S44" s="402"/>
      <c r="T44" s="399"/>
      <c r="U44" s="399"/>
      <c r="V44" s="400"/>
      <c r="W44" s="400"/>
      <c r="X44" s="399"/>
      <c r="Y44" s="403"/>
      <c r="Z44" s="404">
        <f>SUM(Z6:Z43)</f>
        <v>28939900</v>
      </c>
      <c r="AA44" s="175"/>
      <c r="AB44" s="237"/>
      <c r="AC44" s="188"/>
    </row>
    <row r="45" spans="1:29" s="196" customFormat="1" ht="18.75" customHeight="1" x14ac:dyDescent="0.2">
      <c r="A45" s="209" t="s">
        <v>96</v>
      </c>
      <c r="B45" s="461"/>
      <c r="C45" s="208"/>
      <c r="D45" s="452"/>
      <c r="E45" s="208"/>
      <c r="F45" s="191"/>
      <c r="G45" s="194"/>
      <c r="H45" s="194"/>
      <c r="I45" s="185"/>
      <c r="J45" s="346"/>
      <c r="K45" s="444"/>
      <c r="L45" s="179"/>
      <c r="M45" s="179"/>
      <c r="N45" s="194"/>
      <c r="O45" s="194"/>
      <c r="P45" s="194"/>
      <c r="Q45" s="180"/>
      <c r="R45" s="395"/>
      <c r="S45" s="193"/>
      <c r="T45" s="194"/>
      <c r="U45" s="194"/>
      <c r="V45" s="194"/>
      <c r="W45" s="194"/>
      <c r="X45" s="194"/>
      <c r="Y45" s="465"/>
      <c r="Z45" s="342"/>
    </row>
    <row r="46" spans="1:29" s="196" customFormat="1" ht="18.75" customHeight="1" x14ac:dyDescent="0.2">
      <c r="A46" s="182">
        <v>1</v>
      </c>
      <c r="B46" s="462" t="s">
        <v>95</v>
      </c>
      <c r="C46" s="197" t="s">
        <v>94</v>
      </c>
      <c r="D46" s="453"/>
      <c r="E46" s="198"/>
      <c r="F46" s="185"/>
      <c r="G46" s="315"/>
      <c r="H46" s="315"/>
      <c r="I46" s="339">
        <f t="shared" ref="I46:I109" si="3">ROUND(F46*G46*E46*H46,-2)</f>
        <v>0</v>
      </c>
      <c r="J46" s="356">
        <f t="shared" ref="J46:J109" si="4">I46*$J$5</f>
        <v>0</v>
      </c>
      <c r="K46" s="304">
        <v>1385</v>
      </c>
      <c r="L46" s="311">
        <v>1</v>
      </c>
      <c r="M46" s="200">
        <v>85000</v>
      </c>
      <c r="N46" s="315">
        <v>1.05</v>
      </c>
      <c r="O46" s="315">
        <v>1.05</v>
      </c>
      <c r="P46" s="315">
        <v>1.1000000000000001</v>
      </c>
      <c r="Q46" s="350">
        <f>ROUND(M46*N46*P46*L46*O46,-2)</f>
        <v>103100</v>
      </c>
      <c r="R46" s="356">
        <f>Q46*$R$5</f>
        <v>1134100</v>
      </c>
      <c r="S46" s="304"/>
      <c r="T46" s="315"/>
      <c r="U46" s="315"/>
      <c r="V46" s="315"/>
      <c r="W46" s="315"/>
      <c r="X46" s="315"/>
      <c r="Y46" s="466"/>
      <c r="Z46" s="342">
        <f t="shared" ref="Z46:Z112" si="5">J46+R46+Y46</f>
        <v>1134100</v>
      </c>
    </row>
    <row r="47" spans="1:29" s="196" customFormat="1" ht="18.75" customHeight="1" x14ac:dyDescent="0.2">
      <c r="A47" s="182">
        <v>2</v>
      </c>
      <c r="B47" s="462" t="s">
        <v>93</v>
      </c>
      <c r="C47" s="197" t="s">
        <v>92</v>
      </c>
      <c r="D47" s="453"/>
      <c r="E47" s="198"/>
      <c r="F47" s="185"/>
      <c r="G47" s="315"/>
      <c r="H47" s="315"/>
      <c r="I47" s="339">
        <f t="shared" si="3"/>
        <v>0</v>
      </c>
      <c r="J47" s="356">
        <f t="shared" si="4"/>
        <v>0</v>
      </c>
      <c r="K47" s="304">
        <v>966</v>
      </c>
      <c r="L47" s="311">
        <v>1</v>
      </c>
      <c r="M47" s="200">
        <v>80000</v>
      </c>
      <c r="N47" s="315">
        <v>1.05</v>
      </c>
      <c r="O47" s="315">
        <v>1.05</v>
      </c>
      <c r="P47" s="315">
        <v>1</v>
      </c>
      <c r="Q47" s="350">
        <f t="shared" ref="Q47:Q59" si="6">ROUND(M47*N47*P47*L47*O47,-2)</f>
        <v>88200</v>
      </c>
      <c r="R47" s="356">
        <f t="shared" ref="R47:R59" si="7">Q47*$R$5</f>
        <v>970200</v>
      </c>
      <c r="S47" s="304"/>
      <c r="T47" s="315"/>
      <c r="U47" s="315"/>
      <c r="V47" s="315"/>
      <c r="W47" s="315"/>
      <c r="X47" s="315"/>
      <c r="Y47" s="466"/>
      <c r="Z47" s="342">
        <f t="shared" si="5"/>
        <v>970200</v>
      </c>
    </row>
    <row r="48" spans="1:29" s="196" customFormat="1" ht="18.75" customHeight="1" x14ac:dyDescent="0.2">
      <c r="A48" s="182">
        <v>3</v>
      </c>
      <c r="B48" s="462" t="s">
        <v>91</v>
      </c>
      <c r="C48" s="197" t="s">
        <v>179</v>
      </c>
      <c r="D48" s="453"/>
      <c r="E48" s="198"/>
      <c r="F48" s="185"/>
      <c r="G48" s="315"/>
      <c r="H48" s="315"/>
      <c r="I48" s="339">
        <f t="shared" si="3"/>
        <v>0</v>
      </c>
      <c r="J48" s="356">
        <f t="shared" si="4"/>
        <v>0</v>
      </c>
      <c r="K48" s="304">
        <v>1202</v>
      </c>
      <c r="L48" s="311">
        <v>1</v>
      </c>
      <c r="M48" s="200">
        <v>85000</v>
      </c>
      <c r="N48" s="315">
        <v>1.05</v>
      </c>
      <c r="O48" s="315">
        <v>1.05</v>
      </c>
      <c r="P48" s="315">
        <v>1</v>
      </c>
      <c r="Q48" s="350">
        <f t="shared" si="6"/>
        <v>93700</v>
      </c>
      <c r="R48" s="356">
        <f t="shared" si="7"/>
        <v>1030700</v>
      </c>
      <c r="S48" s="304"/>
      <c r="T48" s="315"/>
      <c r="U48" s="315"/>
      <c r="V48" s="315"/>
      <c r="W48" s="315"/>
      <c r="X48" s="315"/>
      <c r="Y48" s="466"/>
      <c r="Z48" s="342">
        <f t="shared" si="5"/>
        <v>1030700</v>
      </c>
    </row>
    <row r="49" spans="1:26" s="196" customFormat="1" ht="18.75" customHeight="1" x14ac:dyDescent="0.2">
      <c r="A49" s="182">
        <v>4</v>
      </c>
      <c r="B49" s="462" t="s">
        <v>90</v>
      </c>
      <c r="C49" s="197" t="s">
        <v>180</v>
      </c>
      <c r="D49" s="453"/>
      <c r="E49" s="198"/>
      <c r="F49" s="185"/>
      <c r="G49" s="315"/>
      <c r="H49" s="315"/>
      <c r="I49" s="339">
        <f t="shared" si="3"/>
        <v>0</v>
      </c>
      <c r="J49" s="356">
        <f t="shared" si="4"/>
        <v>0</v>
      </c>
      <c r="K49" s="304">
        <v>544</v>
      </c>
      <c r="L49" s="311">
        <v>1</v>
      </c>
      <c r="M49" s="200">
        <v>75000</v>
      </c>
      <c r="N49" s="315">
        <v>1.05</v>
      </c>
      <c r="O49" s="315">
        <v>1.05</v>
      </c>
      <c r="P49" s="315">
        <v>1</v>
      </c>
      <c r="Q49" s="350">
        <f t="shared" si="6"/>
        <v>82700</v>
      </c>
      <c r="R49" s="356">
        <f t="shared" si="7"/>
        <v>909700</v>
      </c>
      <c r="S49" s="304"/>
      <c r="T49" s="315"/>
      <c r="U49" s="315"/>
      <c r="V49" s="315"/>
      <c r="W49" s="315"/>
      <c r="X49" s="315"/>
      <c r="Y49" s="466"/>
      <c r="Z49" s="342">
        <f t="shared" si="5"/>
        <v>909700</v>
      </c>
    </row>
    <row r="50" spans="1:26" s="196" customFormat="1" ht="18.75" customHeight="1" x14ac:dyDescent="0.2">
      <c r="A50" s="182">
        <v>5</v>
      </c>
      <c r="B50" s="462" t="s">
        <v>89</v>
      </c>
      <c r="C50" s="197" t="s">
        <v>88</v>
      </c>
      <c r="D50" s="453"/>
      <c r="E50" s="198"/>
      <c r="F50" s="185"/>
      <c r="G50" s="315"/>
      <c r="H50" s="315"/>
      <c r="I50" s="339">
        <f t="shared" si="3"/>
        <v>0</v>
      </c>
      <c r="J50" s="356">
        <f t="shared" si="4"/>
        <v>0</v>
      </c>
      <c r="K50" s="304">
        <v>1282</v>
      </c>
      <c r="L50" s="311">
        <v>1</v>
      </c>
      <c r="M50" s="200">
        <v>85000</v>
      </c>
      <c r="N50" s="315">
        <v>1.05</v>
      </c>
      <c r="O50" s="315">
        <v>1.05</v>
      </c>
      <c r="P50" s="315">
        <v>1.1000000000000001</v>
      </c>
      <c r="Q50" s="350">
        <f t="shared" si="6"/>
        <v>103100</v>
      </c>
      <c r="R50" s="356">
        <f t="shared" si="7"/>
        <v>1134100</v>
      </c>
      <c r="S50" s="304"/>
      <c r="T50" s="315"/>
      <c r="U50" s="315"/>
      <c r="V50" s="315"/>
      <c r="W50" s="315"/>
      <c r="X50" s="315"/>
      <c r="Y50" s="466"/>
      <c r="Z50" s="342">
        <f t="shared" si="5"/>
        <v>1134100</v>
      </c>
    </row>
    <row r="51" spans="1:26" s="196" customFormat="1" ht="18.75" customHeight="1" x14ac:dyDescent="0.2">
      <c r="A51" s="1131">
        <v>6</v>
      </c>
      <c r="B51" s="1073" t="s">
        <v>87</v>
      </c>
      <c r="C51" s="197" t="s">
        <v>85</v>
      </c>
      <c r="D51" s="453" t="s">
        <v>185</v>
      </c>
      <c r="E51" s="198">
        <v>1</v>
      </c>
      <c r="F51" s="185">
        <v>65000</v>
      </c>
      <c r="G51" s="315">
        <v>1.05</v>
      </c>
      <c r="H51" s="315">
        <v>1.05</v>
      </c>
      <c r="I51" s="339">
        <f t="shared" si="3"/>
        <v>71700</v>
      </c>
      <c r="J51" s="356">
        <f t="shared" si="4"/>
        <v>788700</v>
      </c>
      <c r="K51" s="304"/>
      <c r="L51" s="311"/>
      <c r="M51" s="200"/>
      <c r="N51" s="315"/>
      <c r="O51" s="315"/>
      <c r="P51" s="315"/>
      <c r="Q51" s="350">
        <f t="shared" si="6"/>
        <v>0</v>
      </c>
      <c r="R51" s="356">
        <f t="shared" si="7"/>
        <v>0</v>
      </c>
      <c r="S51" s="304"/>
      <c r="T51" s="315"/>
      <c r="U51" s="315"/>
      <c r="V51" s="315"/>
      <c r="W51" s="315"/>
      <c r="X51" s="315"/>
      <c r="Y51" s="466"/>
      <c r="Z51" s="342">
        <f t="shared" si="5"/>
        <v>788700</v>
      </c>
    </row>
    <row r="52" spans="1:26" s="196" customFormat="1" ht="18.75" customHeight="1" x14ac:dyDescent="0.2">
      <c r="A52" s="1132"/>
      <c r="B52" s="1077"/>
      <c r="C52" s="197" t="s">
        <v>239</v>
      </c>
      <c r="D52" s="453" t="s">
        <v>185</v>
      </c>
      <c r="E52" s="198">
        <v>1</v>
      </c>
      <c r="F52" s="185">
        <v>65000</v>
      </c>
      <c r="G52" s="315">
        <v>1.05</v>
      </c>
      <c r="H52" s="315">
        <v>1.05</v>
      </c>
      <c r="I52" s="339">
        <f t="shared" si="3"/>
        <v>71700</v>
      </c>
      <c r="J52" s="356">
        <f t="shared" si="4"/>
        <v>788700</v>
      </c>
      <c r="K52" s="304"/>
      <c r="L52" s="311"/>
      <c r="M52" s="200"/>
      <c r="N52" s="315"/>
      <c r="O52" s="315"/>
      <c r="P52" s="315"/>
      <c r="Q52" s="350">
        <f t="shared" si="6"/>
        <v>0</v>
      </c>
      <c r="R52" s="356">
        <f t="shared" si="7"/>
        <v>0</v>
      </c>
      <c r="S52" s="304"/>
      <c r="T52" s="315"/>
      <c r="U52" s="315"/>
      <c r="V52" s="315"/>
      <c r="W52" s="315"/>
      <c r="X52" s="315"/>
      <c r="Y52" s="466"/>
      <c r="Z52" s="342">
        <f t="shared" si="5"/>
        <v>788700</v>
      </c>
    </row>
    <row r="53" spans="1:26" s="196" customFormat="1" ht="18.75" customHeight="1" x14ac:dyDescent="0.2">
      <c r="A53" s="1132"/>
      <c r="B53" s="1077"/>
      <c r="C53" s="197" t="s">
        <v>86</v>
      </c>
      <c r="D53" s="453"/>
      <c r="E53" s="198"/>
      <c r="F53" s="185"/>
      <c r="G53" s="315"/>
      <c r="H53" s="315"/>
      <c r="I53" s="339">
        <f t="shared" si="3"/>
        <v>0</v>
      </c>
      <c r="J53" s="356">
        <f t="shared" si="4"/>
        <v>0</v>
      </c>
      <c r="K53" s="304">
        <v>1284</v>
      </c>
      <c r="L53" s="311">
        <v>0.5</v>
      </c>
      <c r="M53" s="200">
        <v>85000</v>
      </c>
      <c r="N53" s="315">
        <v>1.05</v>
      </c>
      <c r="O53" s="315">
        <v>1.05</v>
      </c>
      <c r="P53" s="315">
        <v>1</v>
      </c>
      <c r="Q53" s="350">
        <f>ROUND(M53*N53*P53*L53*O53,-2)</f>
        <v>46900</v>
      </c>
      <c r="R53" s="356">
        <f>Q53*$R$5</f>
        <v>515900</v>
      </c>
      <c r="S53" s="304"/>
      <c r="T53" s="315"/>
      <c r="U53" s="315"/>
      <c r="V53" s="315"/>
      <c r="W53" s="315"/>
      <c r="X53" s="315"/>
      <c r="Y53" s="466"/>
      <c r="Z53" s="342">
        <f t="shared" si="5"/>
        <v>515900</v>
      </c>
    </row>
    <row r="54" spans="1:26" s="196" customFormat="1" ht="18.75" customHeight="1" x14ac:dyDescent="0.2">
      <c r="A54" s="1133"/>
      <c r="B54" s="1074"/>
      <c r="C54" s="197" t="s">
        <v>86</v>
      </c>
      <c r="D54" s="453"/>
      <c r="E54" s="198"/>
      <c r="F54" s="185"/>
      <c r="G54" s="315"/>
      <c r="H54" s="315"/>
      <c r="I54" s="339">
        <f t="shared" si="3"/>
        <v>0</v>
      </c>
      <c r="J54" s="356">
        <f t="shared" si="4"/>
        <v>0</v>
      </c>
      <c r="K54" s="304">
        <v>1284</v>
      </c>
      <c r="L54" s="311">
        <v>1</v>
      </c>
      <c r="M54" s="200">
        <v>85000</v>
      </c>
      <c r="N54" s="315">
        <v>1.05</v>
      </c>
      <c r="O54" s="315">
        <v>1.05</v>
      </c>
      <c r="P54" s="315">
        <v>1</v>
      </c>
      <c r="Q54" s="350">
        <f t="shared" ref="Q54" si="8">ROUND(M54*N54*P54*L54*O54,-2)</f>
        <v>93700</v>
      </c>
      <c r="R54" s="356">
        <f t="shared" ref="R54" si="9">Q54*$R$5</f>
        <v>1030700</v>
      </c>
      <c r="S54" s="304"/>
      <c r="T54" s="315"/>
      <c r="U54" s="315"/>
      <c r="V54" s="315"/>
      <c r="W54" s="315"/>
      <c r="X54" s="315"/>
      <c r="Y54" s="466"/>
      <c r="Z54" s="342">
        <f t="shared" si="5"/>
        <v>1030700</v>
      </c>
    </row>
    <row r="55" spans="1:26" s="196" customFormat="1" ht="18.75" customHeight="1" x14ac:dyDescent="0.2">
      <c r="A55" s="1131">
        <v>7</v>
      </c>
      <c r="B55" s="1073" t="s">
        <v>84</v>
      </c>
      <c r="C55" s="197" t="s">
        <v>83</v>
      </c>
      <c r="D55" s="453"/>
      <c r="E55" s="198"/>
      <c r="F55" s="185"/>
      <c r="G55" s="315"/>
      <c r="H55" s="315"/>
      <c r="I55" s="339">
        <f t="shared" si="3"/>
        <v>0</v>
      </c>
      <c r="J55" s="356">
        <f t="shared" si="4"/>
        <v>0</v>
      </c>
      <c r="K55" s="304">
        <v>479</v>
      </c>
      <c r="L55" s="311">
        <v>1</v>
      </c>
      <c r="M55" s="200">
        <v>70000</v>
      </c>
      <c r="N55" s="315">
        <v>1.05</v>
      </c>
      <c r="O55" s="315">
        <v>1.05</v>
      </c>
      <c r="P55" s="315">
        <v>1</v>
      </c>
      <c r="Q55" s="350">
        <f t="shared" si="6"/>
        <v>77200</v>
      </c>
      <c r="R55" s="356">
        <f t="shared" si="7"/>
        <v>849200</v>
      </c>
      <c r="S55" s="304"/>
      <c r="T55" s="315"/>
      <c r="U55" s="315"/>
      <c r="V55" s="315"/>
      <c r="W55" s="315"/>
      <c r="X55" s="315"/>
      <c r="Y55" s="466"/>
      <c r="Z55" s="342">
        <f t="shared" si="5"/>
        <v>849200</v>
      </c>
    </row>
    <row r="56" spans="1:26" s="196" customFormat="1" ht="18.75" customHeight="1" x14ac:dyDescent="0.2">
      <c r="A56" s="1132"/>
      <c r="B56" s="1077"/>
      <c r="C56" s="197" t="s">
        <v>82</v>
      </c>
      <c r="D56" s="453"/>
      <c r="E56" s="198"/>
      <c r="F56" s="185"/>
      <c r="G56" s="315"/>
      <c r="H56" s="315"/>
      <c r="I56" s="339">
        <f t="shared" si="3"/>
        <v>0</v>
      </c>
      <c r="J56" s="356">
        <f t="shared" si="4"/>
        <v>0</v>
      </c>
      <c r="K56" s="304">
        <v>563</v>
      </c>
      <c r="L56" s="311">
        <v>1</v>
      </c>
      <c r="M56" s="200">
        <v>75000</v>
      </c>
      <c r="N56" s="315">
        <v>1.05</v>
      </c>
      <c r="O56" s="315">
        <v>1.05</v>
      </c>
      <c r="P56" s="315">
        <v>1.1000000000000001</v>
      </c>
      <c r="Q56" s="350">
        <f t="shared" si="6"/>
        <v>91000</v>
      </c>
      <c r="R56" s="356">
        <f t="shared" si="7"/>
        <v>1001000</v>
      </c>
      <c r="S56" s="304"/>
      <c r="T56" s="315"/>
      <c r="U56" s="315"/>
      <c r="V56" s="315"/>
      <c r="W56" s="315"/>
      <c r="X56" s="315"/>
      <c r="Y56" s="466"/>
      <c r="Z56" s="342">
        <f t="shared" si="5"/>
        <v>1001000</v>
      </c>
    </row>
    <row r="57" spans="1:26" s="196" customFormat="1" ht="18.75" customHeight="1" x14ac:dyDescent="0.2">
      <c r="A57" s="1133"/>
      <c r="B57" s="1074"/>
      <c r="C57" s="197" t="s">
        <v>81</v>
      </c>
      <c r="D57" s="453"/>
      <c r="E57" s="198"/>
      <c r="F57" s="185"/>
      <c r="G57" s="315"/>
      <c r="H57" s="315"/>
      <c r="I57" s="339">
        <f t="shared" si="3"/>
        <v>0</v>
      </c>
      <c r="J57" s="356">
        <f t="shared" si="4"/>
        <v>0</v>
      </c>
      <c r="K57" s="304">
        <v>287</v>
      </c>
      <c r="L57" s="311">
        <v>1</v>
      </c>
      <c r="M57" s="200">
        <v>60000</v>
      </c>
      <c r="N57" s="315">
        <v>1.05</v>
      </c>
      <c r="O57" s="315">
        <v>1.05</v>
      </c>
      <c r="P57" s="315">
        <v>1.1000000000000001</v>
      </c>
      <c r="Q57" s="350">
        <f t="shared" si="6"/>
        <v>72800</v>
      </c>
      <c r="R57" s="356">
        <f t="shared" si="7"/>
        <v>800800</v>
      </c>
      <c r="S57" s="304"/>
      <c r="T57" s="315"/>
      <c r="U57" s="315"/>
      <c r="V57" s="315"/>
      <c r="W57" s="315"/>
      <c r="X57" s="315"/>
      <c r="Y57" s="466"/>
      <c r="Z57" s="342">
        <f t="shared" si="5"/>
        <v>800800</v>
      </c>
    </row>
    <row r="58" spans="1:26" s="196" customFormat="1" ht="18.75" customHeight="1" x14ac:dyDescent="0.2">
      <c r="A58" s="1131">
        <v>8</v>
      </c>
      <c r="B58" s="1073" t="s">
        <v>80</v>
      </c>
      <c r="C58" s="197" t="s">
        <v>79</v>
      </c>
      <c r="D58" s="453"/>
      <c r="E58" s="198"/>
      <c r="F58" s="185"/>
      <c r="G58" s="315"/>
      <c r="H58" s="315"/>
      <c r="I58" s="339">
        <f t="shared" si="3"/>
        <v>0</v>
      </c>
      <c r="J58" s="356">
        <f t="shared" si="4"/>
        <v>0</v>
      </c>
      <c r="K58" s="304">
        <v>1146</v>
      </c>
      <c r="L58" s="311">
        <v>1</v>
      </c>
      <c r="M58" s="200">
        <v>85000</v>
      </c>
      <c r="N58" s="315">
        <v>1.05</v>
      </c>
      <c r="O58" s="315">
        <v>1.05</v>
      </c>
      <c r="P58" s="315">
        <v>1.1000000000000001</v>
      </c>
      <c r="Q58" s="350">
        <f t="shared" si="6"/>
        <v>103100</v>
      </c>
      <c r="R58" s="356">
        <f t="shared" si="7"/>
        <v>1134100</v>
      </c>
      <c r="S58" s="304"/>
      <c r="T58" s="315"/>
      <c r="U58" s="315"/>
      <c r="V58" s="315"/>
      <c r="W58" s="315"/>
      <c r="X58" s="315"/>
      <c r="Y58" s="466"/>
      <c r="Z58" s="342">
        <f t="shared" si="5"/>
        <v>1134100</v>
      </c>
    </row>
    <row r="59" spans="1:26" s="196" customFormat="1" ht="18.75" customHeight="1" x14ac:dyDescent="0.2">
      <c r="A59" s="1133"/>
      <c r="B59" s="1074"/>
      <c r="C59" s="197" t="s">
        <v>78</v>
      </c>
      <c r="D59" s="453" t="s">
        <v>185</v>
      </c>
      <c r="E59" s="198">
        <v>1</v>
      </c>
      <c r="F59" s="185">
        <v>65000</v>
      </c>
      <c r="G59" s="315">
        <v>1.05</v>
      </c>
      <c r="H59" s="315">
        <v>1.05</v>
      </c>
      <c r="I59" s="339">
        <f t="shared" si="3"/>
        <v>71700</v>
      </c>
      <c r="J59" s="356">
        <f t="shared" si="4"/>
        <v>788700</v>
      </c>
      <c r="K59" s="304"/>
      <c r="L59" s="311"/>
      <c r="M59" s="200"/>
      <c r="N59" s="315"/>
      <c r="O59" s="315"/>
      <c r="P59" s="315"/>
      <c r="Q59" s="350">
        <f t="shared" si="6"/>
        <v>0</v>
      </c>
      <c r="R59" s="356">
        <f t="shared" si="7"/>
        <v>0</v>
      </c>
      <c r="S59" s="304"/>
      <c r="T59" s="315"/>
      <c r="U59" s="315"/>
      <c r="V59" s="315"/>
      <c r="W59" s="315"/>
      <c r="X59" s="315"/>
      <c r="Y59" s="466"/>
      <c r="Z59" s="342">
        <f t="shared" si="5"/>
        <v>788700</v>
      </c>
    </row>
    <row r="60" spans="1:26" s="196" customFormat="1" ht="18.75" customHeight="1" x14ac:dyDescent="0.2">
      <c r="A60" s="182">
        <v>9</v>
      </c>
      <c r="B60" s="462" t="s">
        <v>77</v>
      </c>
      <c r="C60" s="197" t="s">
        <v>174</v>
      </c>
      <c r="D60" s="453"/>
      <c r="E60" s="198"/>
      <c r="F60" s="185"/>
      <c r="G60" s="315"/>
      <c r="H60" s="315"/>
      <c r="I60" s="339">
        <f t="shared" si="3"/>
        <v>0</v>
      </c>
      <c r="J60" s="356">
        <f t="shared" si="4"/>
        <v>0</v>
      </c>
      <c r="K60" s="304">
        <v>1395</v>
      </c>
      <c r="L60" s="311">
        <v>1</v>
      </c>
      <c r="M60" s="200">
        <v>85000</v>
      </c>
      <c r="N60" s="315">
        <v>1.05</v>
      </c>
      <c r="O60" s="315">
        <v>1.05</v>
      </c>
      <c r="P60" s="315">
        <v>1.1000000000000001</v>
      </c>
      <c r="Q60" s="350">
        <f>ROUND(M60*N60*P60*L60*O60,-2)</f>
        <v>103100</v>
      </c>
      <c r="R60" s="356">
        <f>Q60*$R$5</f>
        <v>1134100</v>
      </c>
      <c r="S60" s="304"/>
      <c r="T60" s="315"/>
      <c r="U60" s="315"/>
      <c r="V60" s="315"/>
      <c r="W60" s="315"/>
      <c r="X60" s="315"/>
      <c r="Y60" s="466"/>
      <c r="Z60" s="342">
        <f t="shared" si="5"/>
        <v>1134100</v>
      </c>
    </row>
    <row r="61" spans="1:26" s="196" customFormat="1" ht="18.75" customHeight="1" x14ac:dyDescent="0.2">
      <c r="A61" s="182">
        <v>10</v>
      </c>
      <c r="B61" s="462" t="s">
        <v>76</v>
      </c>
      <c r="C61" s="197" t="s">
        <v>175</v>
      </c>
      <c r="D61" s="453"/>
      <c r="E61" s="198"/>
      <c r="F61" s="185"/>
      <c r="G61" s="315"/>
      <c r="H61" s="315"/>
      <c r="I61" s="339">
        <f t="shared" si="3"/>
        <v>0</v>
      </c>
      <c r="J61" s="356">
        <f t="shared" si="4"/>
        <v>0</v>
      </c>
      <c r="K61" s="304">
        <v>828</v>
      </c>
      <c r="L61" s="311">
        <v>1</v>
      </c>
      <c r="M61" s="200">
        <v>80000</v>
      </c>
      <c r="N61" s="315">
        <v>1.05</v>
      </c>
      <c r="O61" s="315">
        <v>1.05</v>
      </c>
      <c r="P61" s="315">
        <v>1</v>
      </c>
      <c r="Q61" s="350">
        <f t="shared" ref="Q61:Q122" si="10">ROUND(M61*N61*P61*L61*O61,-2)</f>
        <v>88200</v>
      </c>
      <c r="R61" s="356">
        <f t="shared" ref="R61:R122" si="11">Q61*$R$5</f>
        <v>970200</v>
      </c>
      <c r="S61" s="304"/>
      <c r="T61" s="315"/>
      <c r="U61" s="315"/>
      <c r="V61" s="315"/>
      <c r="W61" s="315"/>
      <c r="X61" s="315"/>
      <c r="Y61" s="466"/>
      <c r="Z61" s="342">
        <f t="shared" si="5"/>
        <v>970200</v>
      </c>
    </row>
    <row r="62" spans="1:26" s="196" customFormat="1" ht="18.75" customHeight="1" x14ac:dyDescent="0.2">
      <c r="A62" s="1122">
        <v>11</v>
      </c>
      <c r="B62" s="1042" t="s">
        <v>75</v>
      </c>
      <c r="C62" s="197" t="s">
        <v>74</v>
      </c>
      <c r="D62" s="453"/>
      <c r="E62" s="198"/>
      <c r="F62" s="185"/>
      <c r="G62" s="315"/>
      <c r="H62" s="315"/>
      <c r="I62" s="339">
        <f t="shared" si="3"/>
        <v>0</v>
      </c>
      <c r="J62" s="356">
        <f t="shared" si="4"/>
        <v>0</v>
      </c>
      <c r="K62" s="304">
        <v>502</v>
      </c>
      <c r="L62" s="311">
        <v>1</v>
      </c>
      <c r="M62" s="200">
        <v>75000</v>
      </c>
      <c r="N62" s="315">
        <v>1.05</v>
      </c>
      <c r="O62" s="315">
        <v>1.05</v>
      </c>
      <c r="P62" s="315">
        <v>1.1000000000000001</v>
      </c>
      <c r="Q62" s="350">
        <f t="shared" si="10"/>
        <v>91000</v>
      </c>
      <c r="R62" s="356">
        <f t="shared" si="11"/>
        <v>1001000</v>
      </c>
      <c r="S62" s="304"/>
      <c r="T62" s="315"/>
      <c r="U62" s="315"/>
      <c r="V62" s="315"/>
      <c r="W62" s="315"/>
      <c r="X62" s="315"/>
      <c r="Y62" s="466"/>
      <c r="Z62" s="342">
        <f t="shared" si="5"/>
        <v>1001000</v>
      </c>
    </row>
    <row r="63" spans="1:26" s="196" customFormat="1" ht="18.75" customHeight="1" x14ac:dyDescent="0.2">
      <c r="A63" s="1122"/>
      <c r="B63" s="1042"/>
      <c r="C63" s="197" t="s">
        <v>73</v>
      </c>
      <c r="D63" s="453" t="s">
        <v>185</v>
      </c>
      <c r="E63" s="198">
        <v>1</v>
      </c>
      <c r="F63" s="185">
        <v>65000</v>
      </c>
      <c r="G63" s="315">
        <v>1.05</v>
      </c>
      <c r="H63" s="315">
        <v>1.05</v>
      </c>
      <c r="I63" s="339">
        <f t="shared" si="3"/>
        <v>71700</v>
      </c>
      <c r="J63" s="356">
        <f t="shared" si="4"/>
        <v>788700</v>
      </c>
      <c r="K63" s="304"/>
      <c r="L63" s="311"/>
      <c r="M63" s="200"/>
      <c r="N63" s="315"/>
      <c r="O63" s="315"/>
      <c r="P63" s="315"/>
      <c r="Q63" s="350">
        <f t="shared" si="10"/>
        <v>0</v>
      </c>
      <c r="R63" s="356">
        <f t="shared" si="11"/>
        <v>0</v>
      </c>
      <c r="S63" s="304"/>
      <c r="T63" s="315"/>
      <c r="U63" s="315"/>
      <c r="V63" s="315"/>
      <c r="W63" s="315"/>
      <c r="X63" s="315"/>
      <c r="Y63" s="466"/>
      <c r="Z63" s="342">
        <f t="shared" si="5"/>
        <v>788700</v>
      </c>
    </row>
    <row r="64" spans="1:26" s="196" customFormat="1" ht="18.75" customHeight="1" x14ac:dyDescent="0.2">
      <c r="A64" s="1122">
        <v>12</v>
      </c>
      <c r="B64" s="1042" t="s">
        <v>72</v>
      </c>
      <c r="C64" s="197" t="s">
        <v>71</v>
      </c>
      <c r="D64" s="453"/>
      <c r="E64" s="198"/>
      <c r="F64" s="185"/>
      <c r="G64" s="315"/>
      <c r="H64" s="315"/>
      <c r="I64" s="339">
        <f t="shared" si="3"/>
        <v>0</v>
      </c>
      <c r="J64" s="356">
        <f t="shared" si="4"/>
        <v>0</v>
      </c>
      <c r="K64" s="304">
        <v>598</v>
      </c>
      <c r="L64" s="311">
        <v>1</v>
      </c>
      <c r="M64" s="200">
        <v>75000</v>
      </c>
      <c r="N64" s="315">
        <v>1.05</v>
      </c>
      <c r="O64" s="315">
        <v>1.05</v>
      </c>
      <c r="P64" s="315">
        <v>1.1000000000000001</v>
      </c>
      <c r="Q64" s="350">
        <f t="shared" si="10"/>
        <v>91000</v>
      </c>
      <c r="R64" s="356">
        <f t="shared" si="11"/>
        <v>1001000</v>
      </c>
      <c r="S64" s="304"/>
      <c r="T64" s="315"/>
      <c r="U64" s="315"/>
      <c r="V64" s="315"/>
      <c r="W64" s="315"/>
      <c r="X64" s="315"/>
      <c r="Y64" s="466"/>
      <c r="Z64" s="342">
        <f t="shared" si="5"/>
        <v>1001000</v>
      </c>
    </row>
    <row r="65" spans="1:26" s="196" customFormat="1" ht="18.75" customHeight="1" x14ac:dyDescent="0.2">
      <c r="A65" s="1122"/>
      <c r="B65" s="1042"/>
      <c r="C65" s="197" t="s">
        <v>182</v>
      </c>
      <c r="D65" s="453"/>
      <c r="E65" s="198"/>
      <c r="F65" s="185"/>
      <c r="G65" s="315"/>
      <c r="H65" s="315"/>
      <c r="I65" s="339">
        <f t="shared" si="3"/>
        <v>0</v>
      </c>
      <c r="J65" s="356">
        <f t="shared" si="4"/>
        <v>0</v>
      </c>
      <c r="K65" s="304">
        <v>564</v>
      </c>
      <c r="L65" s="311">
        <v>1</v>
      </c>
      <c r="M65" s="200">
        <v>75000</v>
      </c>
      <c r="N65" s="315">
        <v>1.05</v>
      </c>
      <c r="O65" s="315">
        <v>1.05</v>
      </c>
      <c r="P65" s="315">
        <v>1</v>
      </c>
      <c r="Q65" s="350">
        <f t="shared" si="10"/>
        <v>82700</v>
      </c>
      <c r="R65" s="356">
        <f t="shared" si="11"/>
        <v>909700</v>
      </c>
      <c r="S65" s="304"/>
      <c r="T65" s="315"/>
      <c r="U65" s="315"/>
      <c r="V65" s="315"/>
      <c r="W65" s="315"/>
      <c r="X65" s="315"/>
      <c r="Y65" s="466"/>
      <c r="Z65" s="342">
        <f t="shared" si="5"/>
        <v>909700</v>
      </c>
    </row>
    <row r="66" spans="1:26" s="196" customFormat="1" ht="18.75" customHeight="1" x14ac:dyDescent="0.2">
      <c r="A66" s="1122">
        <v>13</v>
      </c>
      <c r="B66" s="1042" t="s">
        <v>69</v>
      </c>
      <c r="C66" s="179" t="s">
        <v>68</v>
      </c>
      <c r="D66" s="318"/>
      <c r="E66" s="199"/>
      <c r="F66" s="200"/>
      <c r="G66" s="315"/>
      <c r="H66" s="315"/>
      <c r="I66" s="339">
        <f t="shared" si="3"/>
        <v>0</v>
      </c>
      <c r="J66" s="356">
        <f t="shared" si="4"/>
        <v>0</v>
      </c>
      <c r="K66" s="304">
        <v>405</v>
      </c>
      <c r="L66" s="311">
        <v>1</v>
      </c>
      <c r="M66" s="200">
        <v>75000</v>
      </c>
      <c r="N66" s="315">
        <v>1.05</v>
      </c>
      <c r="O66" s="315">
        <v>1.05</v>
      </c>
      <c r="P66" s="315">
        <v>1</v>
      </c>
      <c r="Q66" s="350">
        <f t="shared" si="10"/>
        <v>82700</v>
      </c>
      <c r="R66" s="356">
        <f t="shared" si="11"/>
        <v>909700</v>
      </c>
      <c r="S66" s="304"/>
      <c r="T66" s="315"/>
      <c r="U66" s="315"/>
      <c r="V66" s="315"/>
      <c r="W66" s="315"/>
      <c r="X66" s="315"/>
      <c r="Y66" s="466"/>
      <c r="Z66" s="342">
        <f t="shared" si="5"/>
        <v>909700</v>
      </c>
    </row>
    <row r="67" spans="1:26" s="196" customFormat="1" ht="18.75" customHeight="1" x14ac:dyDescent="0.2">
      <c r="A67" s="1122"/>
      <c r="B67" s="1042"/>
      <c r="C67" s="179" t="s">
        <v>67</v>
      </c>
      <c r="D67" s="318"/>
      <c r="E67" s="199"/>
      <c r="F67" s="200"/>
      <c r="G67" s="315"/>
      <c r="H67" s="315"/>
      <c r="I67" s="339">
        <f t="shared" si="3"/>
        <v>0</v>
      </c>
      <c r="J67" s="356">
        <f t="shared" si="4"/>
        <v>0</v>
      </c>
      <c r="K67" s="304">
        <v>564</v>
      </c>
      <c r="L67" s="311">
        <v>1</v>
      </c>
      <c r="M67" s="200">
        <v>70000</v>
      </c>
      <c r="N67" s="315">
        <v>1.05</v>
      </c>
      <c r="O67" s="315">
        <v>1.05</v>
      </c>
      <c r="P67" s="315">
        <v>1.1000000000000001</v>
      </c>
      <c r="Q67" s="350">
        <f t="shared" si="10"/>
        <v>84900</v>
      </c>
      <c r="R67" s="356">
        <f t="shared" si="11"/>
        <v>933900</v>
      </c>
      <c r="S67" s="304"/>
      <c r="T67" s="315"/>
      <c r="U67" s="315"/>
      <c r="V67" s="315"/>
      <c r="W67" s="315"/>
      <c r="X67" s="315"/>
      <c r="Y67" s="466"/>
      <c r="Z67" s="342">
        <f t="shared" si="5"/>
        <v>933900</v>
      </c>
    </row>
    <row r="68" spans="1:26" s="196" customFormat="1" ht="18.75" customHeight="1" x14ac:dyDescent="0.2">
      <c r="A68" s="1131">
        <v>14</v>
      </c>
      <c r="B68" s="1073" t="s">
        <v>66</v>
      </c>
      <c r="C68" s="179" t="s">
        <v>65</v>
      </c>
      <c r="D68" s="318"/>
      <c r="E68" s="199"/>
      <c r="F68" s="200"/>
      <c r="G68" s="315"/>
      <c r="H68" s="315"/>
      <c r="I68" s="339">
        <f t="shared" si="3"/>
        <v>0</v>
      </c>
      <c r="J68" s="356">
        <f t="shared" si="4"/>
        <v>0</v>
      </c>
      <c r="K68" s="304">
        <v>392</v>
      </c>
      <c r="L68" s="311">
        <v>1</v>
      </c>
      <c r="M68" s="200">
        <v>60000</v>
      </c>
      <c r="N68" s="315">
        <v>1.05</v>
      </c>
      <c r="O68" s="315">
        <v>1.05</v>
      </c>
      <c r="P68" s="315">
        <v>1.1000000000000001</v>
      </c>
      <c r="Q68" s="350">
        <f t="shared" si="10"/>
        <v>72800</v>
      </c>
      <c r="R68" s="356">
        <f t="shared" si="11"/>
        <v>800800</v>
      </c>
      <c r="S68" s="304"/>
      <c r="T68" s="315"/>
      <c r="U68" s="315"/>
      <c r="V68" s="315"/>
      <c r="W68" s="315"/>
      <c r="X68" s="315"/>
      <c r="Y68" s="466"/>
      <c r="Z68" s="342">
        <f t="shared" si="5"/>
        <v>800800</v>
      </c>
    </row>
    <row r="69" spans="1:26" s="196" customFormat="1" ht="18.75" customHeight="1" x14ac:dyDescent="0.2">
      <c r="A69" s="1132"/>
      <c r="B69" s="1077"/>
      <c r="C69" s="179" t="s">
        <v>64</v>
      </c>
      <c r="D69" s="318"/>
      <c r="E69" s="199"/>
      <c r="F69" s="200"/>
      <c r="G69" s="315"/>
      <c r="H69" s="315"/>
      <c r="I69" s="339">
        <f t="shared" si="3"/>
        <v>0</v>
      </c>
      <c r="J69" s="356">
        <f t="shared" si="4"/>
        <v>0</v>
      </c>
      <c r="K69" s="304">
        <v>82</v>
      </c>
      <c r="L69" s="311">
        <v>1</v>
      </c>
      <c r="M69" s="200">
        <v>60000</v>
      </c>
      <c r="N69" s="315">
        <v>1.05</v>
      </c>
      <c r="O69" s="315">
        <v>1.05</v>
      </c>
      <c r="P69" s="315">
        <v>1.1000000000000001</v>
      </c>
      <c r="Q69" s="350">
        <f t="shared" si="10"/>
        <v>72800</v>
      </c>
      <c r="R69" s="356">
        <f t="shared" si="11"/>
        <v>800800</v>
      </c>
      <c r="S69" s="304"/>
      <c r="T69" s="315"/>
      <c r="U69" s="315"/>
      <c r="V69" s="315"/>
      <c r="W69" s="315"/>
      <c r="X69" s="315"/>
      <c r="Y69" s="466"/>
      <c r="Z69" s="342">
        <f t="shared" si="5"/>
        <v>800800</v>
      </c>
    </row>
    <row r="70" spans="1:26" s="196" customFormat="1" ht="18.75" customHeight="1" x14ac:dyDescent="0.2">
      <c r="A70" s="1132"/>
      <c r="B70" s="1077"/>
      <c r="C70" s="179" t="s">
        <v>63</v>
      </c>
      <c r="D70" s="318" t="s">
        <v>186</v>
      </c>
      <c r="E70" s="199">
        <v>1</v>
      </c>
      <c r="F70" s="200">
        <v>60000</v>
      </c>
      <c r="G70" s="315">
        <v>1.05</v>
      </c>
      <c r="H70" s="315">
        <v>1.05</v>
      </c>
      <c r="I70" s="339">
        <f t="shared" si="3"/>
        <v>66200</v>
      </c>
      <c r="J70" s="356">
        <f t="shared" si="4"/>
        <v>728200</v>
      </c>
      <c r="K70" s="304"/>
      <c r="L70" s="311"/>
      <c r="M70" s="200"/>
      <c r="N70" s="315"/>
      <c r="O70" s="315"/>
      <c r="P70" s="315"/>
      <c r="Q70" s="350">
        <f t="shared" si="10"/>
        <v>0</v>
      </c>
      <c r="R70" s="356">
        <f t="shared" si="11"/>
        <v>0</v>
      </c>
      <c r="S70" s="304"/>
      <c r="T70" s="315"/>
      <c r="U70" s="315"/>
      <c r="V70" s="315"/>
      <c r="W70" s="315"/>
      <c r="X70" s="315"/>
      <c r="Y70" s="466"/>
      <c r="Z70" s="342">
        <f>J70+R70+Y70</f>
        <v>728200</v>
      </c>
    </row>
    <row r="71" spans="1:26" s="196" customFormat="1" ht="18.75" customHeight="1" x14ac:dyDescent="0.2">
      <c r="A71" s="1132"/>
      <c r="B71" s="1077"/>
      <c r="C71" s="179" t="s">
        <v>62</v>
      </c>
      <c r="D71" s="318" t="s">
        <v>186</v>
      </c>
      <c r="E71" s="199">
        <v>1</v>
      </c>
      <c r="F71" s="200">
        <v>60000</v>
      </c>
      <c r="G71" s="315">
        <v>1.05</v>
      </c>
      <c r="H71" s="315">
        <v>1.05</v>
      </c>
      <c r="I71" s="339">
        <f t="shared" si="3"/>
        <v>66200</v>
      </c>
      <c r="J71" s="356">
        <f t="shared" si="4"/>
        <v>728200</v>
      </c>
      <c r="K71" s="304"/>
      <c r="L71" s="311"/>
      <c r="M71" s="200"/>
      <c r="N71" s="315"/>
      <c r="O71" s="315"/>
      <c r="P71" s="315"/>
      <c r="Q71" s="350">
        <f t="shared" si="10"/>
        <v>0</v>
      </c>
      <c r="R71" s="356">
        <f t="shared" si="11"/>
        <v>0</v>
      </c>
      <c r="S71" s="304"/>
      <c r="T71" s="315"/>
      <c r="U71" s="315"/>
      <c r="V71" s="315"/>
      <c r="W71" s="315"/>
      <c r="X71" s="315"/>
      <c r="Y71" s="466"/>
      <c r="Z71" s="342">
        <f t="shared" si="5"/>
        <v>728200</v>
      </c>
    </row>
    <row r="72" spans="1:26" s="196" customFormat="1" ht="18.75" customHeight="1" x14ac:dyDescent="0.2">
      <c r="A72" s="1133"/>
      <c r="B72" s="1074"/>
      <c r="C72" s="179" t="s">
        <v>61</v>
      </c>
      <c r="D72" s="318" t="s">
        <v>186</v>
      </c>
      <c r="E72" s="199">
        <v>1</v>
      </c>
      <c r="F72" s="200">
        <v>60000</v>
      </c>
      <c r="G72" s="315">
        <v>1.05</v>
      </c>
      <c r="H72" s="315">
        <v>1.05</v>
      </c>
      <c r="I72" s="339">
        <f t="shared" si="3"/>
        <v>66200</v>
      </c>
      <c r="J72" s="356">
        <f t="shared" si="4"/>
        <v>728200</v>
      </c>
      <c r="K72" s="304"/>
      <c r="L72" s="311"/>
      <c r="M72" s="200"/>
      <c r="N72" s="315"/>
      <c r="O72" s="315"/>
      <c r="P72" s="315"/>
      <c r="Q72" s="350">
        <f t="shared" si="10"/>
        <v>0</v>
      </c>
      <c r="R72" s="356">
        <f t="shared" si="11"/>
        <v>0</v>
      </c>
      <c r="S72" s="304"/>
      <c r="T72" s="315"/>
      <c r="U72" s="315"/>
      <c r="V72" s="315"/>
      <c r="W72" s="315"/>
      <c r="X72" s="315"/>
      <c r="Y72" s="466"/>
      <c r="Z72" s="342">
        <f t="shared" si="5"/>
        <v>728200</v>
      </c>
    </row>
    <row r="73" spans="1:26" s="196" customFormat="1" ht="18.75" customHeight="1" x14ac:dyDescent="0.2">
      <c r="A73" s="1131">
        <v>15</v>
      </c>
      <c r="B73" s="1073" t="s">
        <v>60</v>
      </c>
      <c r="C73" s="179" t="s">
        <v>59</v>
      </c>
      <c r="D73" s="318"/>
      <c r="E73" s="199"/>
      <c r="F73" s="200"/>
      <c r="G73" s="315"/>
      <c r="H73" s="315"/>
      <c r="I73" s="339">
        <f t="shared" si="3"/>
        <v>0</v>
      </c>
      <c r="J73" s="356">
        <f t="shared" si="4"/>
        <v>0</v>
      </c>
      <c r="K73" s="304">
        <v>776</v>
      </c>
      <c r="L73" s="311">
        <v>1</v>
      </c>
      <c r="M73" s="200">
        <v>80000</v>
      </c>
      <c r="N73" s="315">
        <v>1.05</v>
      </c>
      <c r="O73" s="315">
        <v>1.05</v>
      </c>
      <c r="P73" s="315">
        <v>1.1000000000000001</v>
      </c>
      <c r="Q73" s="350">
        <f t="shared" si="10"/>
        <v>97000</v>
      </c>
      <c r="R73" s="356">
        <f t="shared" si="11"/>
        <v>1067000</v>
      </c>
      <c r="S73" s="304"/>
      <c r="T73" s="315"/>
      <c r="U73" s="315"/>
      <c r="V73" s="315"/>
      <c r="W73" s="315"/>
      <c r="X73" s="315"/>
      <c r="Y73" s="466"/>
      <c r="Z73" s="342">
        <f t="shared" si="5"/>
        <v>1067000</v>
      </c>
    </row>
    <row r="74" spans="1:26" s="196" customFormat="1" ht="18.75" customHeight="1" x14ac:dyDescent="0.2">
      <c r="A74" s="1132"/>
      <c r="B74" s="1077"/>
      <c r="C74" s="179" t="s">
        <v>58</v>
      </c>
      <c r="D74" s="318"/>
      <c r="E74" s="199"/>
      <c r="F74" s="200"/>
      <c r="G74" s="315"/>
      <c r="H74" s="315"/>
      <c r="I74" s="339">
        <f t="shared" si="3"/>
        <v>0</v>
      </c>
      <c r="J74" s="356">
        <f t="shared" si="4"/>
        <v>0</v>
      </c>
      <c r="K74" s="304">
        <v>52</v>
      </c>
      <c r="L74" s="311">
        <v>1</v>
      </c>
      <c r="M74" s="200">
        <v>60000</v>
      </c>
      <c r="N74" s="315">
        <v>1.05</v>
      </c>
      <c r="O74" s="315">
        <v>1.05</v>
      </c>
      <c r="P74" s="315">
        <v>1</v>
      </c>
      <c r="Q74" s="350">
        <f t="shared" si="10"/>
        <v>66200</v>
      </c>
      <c r="R74" s="356">
        <f t="shared" si="11"/>
        <v>728200</v>
      </c>
      <c r="S74" s="304"/>
      <c r="T74" s="315"/>
      <c r="U74" s="315"/>
      <c r="V74" s="315"/>
      <c r="W74" s="315"/>
      <c r="X74" s="315"/>
      <c r="Y74" s="466"/>
      <c r="Z74" s="342">
        <f t="shared" si="5"/>
        <v>728200</v>
      </c>
    </row>
    <row r="75" spans="1:26" s="196" customFormat="1" ht="18.75" customHeight="1" x14ac:dyDescent="0.2">
      <c r="A75" s="1132"/>
      <c r="B75" s="1077"/>
      <c r="C75" s="179" t="s">
        <v>57</v>
      </c>
      <c r="D75" s="318" t="s">
        <v>185</v>
      </c>
      <c r="E75" s="199">
        <v>1</v>
      </c>
      <c r="F75" s="200">
        <v>65000</v>
      </c>
      <c r="G75" s="315">
        <v>1.05</v>
      </c>
      <c r="H75" s="315">
        <v>1.05</v>
      </c>
      <c r="I75" s="339">
        <f t="shared" si="3"/>
        <v>71700</v>
      </c>
      <c r="J75" s="356">
        <f t="shared" si="4"/>
        <v>788700</v>
      </c>
      <c r="K75" s="304"/>
      <c r="L75" s="311"/>
      <c r="M75" s="200"/>
      <c r="N75" s="315"/>
      <c r="O75" s="315"/>
      <c r="P75" s="315"/>
      <c r="Q75" s="350">
        <f t="shared" si="10"/>
        <v>0</v>
      </c>
      <c r="R75" s="356">
        <f t="shared" si="11"/>
        <v>0</v>
      </c>
      <c r="S75" s="304"/>
      <c r="T75" s="315"/>
      <c r="U75" s="315"/>
      <c r="V75" s="315"/>
      <c r="W75" s="315"/>
      <c r="X75" s="315"/>
      <c r="Y75" s="466"/>
      <c r="Z75" s="342">
        <f t="shared" si="5"/>
        <v>788700</v>
      </c>
    </row>
    <row r="76" spans="1:26" s="196" customFormat="1" ht="18.75" customHeight="1" x14ac:dyDescent="0.2">
      <c r="A76" s="1133"/>
      <c r="B76" s="1074"/>
      <c r="C76" s="179" t="s">
        <v>56</v>
      </c>
      <c r="D76" s="318" t="s">
        <v>185</v>
      </c>
      <c r="E76" s="199">
        <v>1</v>
      </c>
      <c r="F76" s="200">
        <v>65000</v>
      </c>
      <c r="G76" s="315">
        <v>1.05</v>
      </c>
      <c r="H76" s="315">
        <v>1.05</v>
      </c>
      <c r="I76" s="339">
        <f t="shared" si="3"/>
        <v>71700</v>
      </c>
      <c r="J76" s="356">
        <f t="shared" si="4"/>
        <v>788700</v>
      </c>
      <c r="K76" s="304"/>
      <c r="L76" s="311"/>
      <c r="M76" s="200"/>
      <c r="N76" s="315"/>
      <c r="O76" s="315"/>
      <c r="P76" s="315"/>
      <c r="Q76" s="350">
        <f t="shared" si="10"/>
        <v>0</v>
      </c>
      <c r="R76" s="356">
        <f t="shared" si="11"/>
        <v>0</v>
      </c>
      <c r="S76" s="304"/>
      <c r="T76" s="315"/>
      <c r="U76" s="315"/>
      <c r="V76" s="315"/>
      <c r="W76" s="315"/>
      <c r="X76" s="315"/>
      <c r="Y76" s="466"/>
      <c r="Z76" s="342">
        <f t="shared" si="5"/>
        <v>788700</v>
      </c>
    </row>
    <row r="77" spans="1:26" s="196" customFormat="1" ht="18.75" customHeight="1" x14ac:dyDescent="0.2">
      <c r="A77" s="1131">
        <v>16</v>
      </c>
      <c r="B77" s="1073" t="s">
        <v>55</v>
      </c>
      <c r="C77" s="179" t="s">
        <v>54</v>
      </c>
      <c r="D77" s="318"/>
      <c r="E77" s="199"/>
      <c r="F77" s="200"/>
      <c r="G77" s="315"/>
      <c r="H77" s="315"/>
      <c r="I77" s="339">
        <f t="shared" si="3"/>
        <v>0</v>
      </c>
      <c r="J77" s="356">
        <f t="shared" si="4"/>
        <v>0</v>
      </c>
      <c r="K77" s="304">
        <v>581</v>
      </c>
      <c r="L77" s="311">
        <v>1</v>
      </c>
      <c r="M77" s="200">
        <v>75000</v>
      </c>
      <c r="N77" s="315">
        <v>1.05</v>
      </c>
      <c r="O77" s="315">
        <v>1.05</v>
      </c>
      <c r="P77" s="315">
        <v>1.1000000000000001</v>
      </c>
      <c r="Q77" s="350">
        <f t="shared" si="10"/>
        <v>91000</v>
      </c>
      <c r="R77" s="356">
        <f t="shared" si="11"/>
        <v>1001000</v>
      </c>
      <c r="S77" s="304"/>
      <c r="T77" s="315"/>
      <c r="U77" s="315"/>
      <c r="V77" s="315"/>
      <c r="W77" s="315"/>
      <c r="X77" s="315"/>
      <c r="Y77" s="466"/>
      <c r="Z77" s="342">
        <f t="shared" si="5"/>
        <v>1001000</v>
      </c>
    </row>
    <row r="78" spans="1:26" s="196" customFormat="1" ht="18.75" customHeight="1" x14ac:dyDescent="0.2">
      <c r="A78" s="1132"/>
      <c r="B78" s="1077"/>
      <c r="C78" s="179" t="s">
        <v>53</v>
      </c>
      <c r="D78" s="318" t="s">
        <v>185</v>
      </c>
      <c r="E78" s="199">
        <v>1</v>
      </c>
      <c r="F78" s="200">
        <v>65000</v>
      </c>
      <c r="G78" s="315">
        <v>1.05</v>
      </c>
      <c r="H78" s="315">
        <v>1.05</v>
      </c>
      <c r="I78" s="339">
        <f t="shared" si="3"/>
        <v>71700</v>
      </c>
      <c r="J78" s="356">
        <f t="shared" si="4"/>
        <v>788700</v>
      </c>
      <c r="K78" s="304"/>
      <c r="L78" s="311"/>
      <c r="M78" s="200"/>
      <c r="N78" s="315"/>
      <c r="O78" s="315"/>
      <c r="P78" s="315"/>
      <c r="Q78" s="350">
        <f t="shared" si="10"/>
        <v>0</v>
      </c>
      <c r="R78" s="356">
        <f t="shared" si="11"/>
        <v>0</v>
      </c>
      <c r="S78" s="304"/>
      <c r="T78" s="315"/>
      <c r="U78" s="315"/>
      <c r="V78" s="315"/>
      <c r="W78" s="315"/>
      <c r="X78" s="315"/>
      <c r="Y78" s="466"/>
      <c r="Z78" s="342">
        <f t="shared" si="5"/>
        <v>788700</v>
      </c>
    </row>
    <row r="79" spans="1:26" s="196" customFormat="1" ht="18.75" customHeight="1" x14ac:dyDescent="0.2">
      <c r="A79" s="1132"/>
      <c r="B79" s="1077"/>
      <c r="C79" s="179" t="s">
        <v>243</v>
      </c>
      <c r="D79" s="318" t="s">
        <v>186</v>
      </c>
      <c r="E79" s="199">
        <v>1</v>
      </c>
      <c r="F79" s="200">
        <v>60000</v>
      </c>
      <c r="G79" s="315">
        <v>1.05</v>
      </c>
      <c r="H79" s="315">
        <v>1.05</v>
      </c>
      <c r="I79" s="339">
        <f t="shared" si="3"/>
        <v>66200</v>
      </c>
      <c r="J79" s="356">
        <f t="shared" si="4"/>
        <v>728200</v>
      </c>
      <c r="K79" s="304"/>
      <c r="L79" s="311"/>
      <c r="M79" s="200"/>
      <c r="N79" s="315"/>
      <c r="O79" s="315"/>
      <c r="P79" s="315"/>
      <c r="Q79" s="350">
        <f t="shared" si="10"/>
        <v>0</v>
      </c>
      <c r="R79" s="356">
        <f t="shared" si="11"/>
        <v>0</v>
      </c>
      <c r="S79" s="304"/>
      <c r="T79" s="315"/>
      <c r="U79" s="315"/>
      <c r="V79" s="315"/>
      <c r="W79" s="315"/>
      <c r="X79" s="315"/>
      <c r="Y79" s="466"/>
      <c r="Z79" s="342">
        <f t="shared" si="5"/>
        <v>728200</v>
      </c>
    </row>
    <row r="80" spans="1:26" s="196" customFormat="1" ht="18.75" customHeight="1" x14ac:dyDescent="0.2">
      <c r="A80" s="1132"/>
      <c r="B80" s="1077"/>
      <c r="C80" s="179" t="s">
        <v>52</v>
      </c>
      <c r="D80" s="318" t="s">
        <v>185</v>
      </c>
      <c r="E80" s="199">
        <v>1</v>
      </c>
      <c r="F80" s="200">
        <v>65000</v>
      </c>
      <c r="G80" s="315">
        <v>1.05</v>
      </c>
      <c r="H80" s="315">
        <v>1.05</v>
      </c>
      <c r="I80" s="339">
        <f t="shared" si="3"/>
        <v>71700</v>
      </c>
      <c r="J80" s="356">
        <f t="shared" si="4"/>
        <v>788700</v>
      </c>
      <c r="K80" s="304"/>
      <c r="L80" s="311"/>
      <c r="M80" s="200"/>
      <c r="N80" s="315"/>
      <c r="O80" s="315"/>
      <c r="P80" s="315"/>
      <c r="Q80" s="350">
        <f t="shared" si="10"/>
        <v>0</v>
      </c>
      <c r="R80" s="356">
        <f t="shared" si="11"/>
        <v>0</v>
      </c>
      <c r="S80" s="304"/>
      <c r="T80" s="315"/>
      <c r="U80" s="315"/>
      <c r="V80" s="315"/>
      <c r="W80" s="315"/>
      <c r="X80" s="315"/>
      <c r="Y80" s="466"/>
      <c r="Z80" s="342">
        <f t="shared" si="5"/>
        <v>788700</v>
      </c>
    </row>
    <row r="81" spans="1:26" s="196" customFormat="1" ht="18.75" customHeight="1" x14ac:dyDescent="0.2">
      <c r="A81" s="1131">
        <v>17</v>
      </c>
      <c r="B81" s="1073" t="s">
        <v>254</v>
      </c>
      <c r="C81" s="179" t="s">
        <v>181</v>
      </c>
      <c r="D81" s="318"/>
      <c r="E81" s="199"/>
      <c r="F81" s="200"/>
      <c r="G81" s="315"/>
      <c r="H81" s="315"/>
      <c r="I81" s="339">
        <f t="shared" si="3"/>
        <v>0</v>
      </c>
      <c r="J81" s="356">
        <f t="shared" si="4"/>
        <v>0</v>
      </c>
      <c r="K81" s="304">
        <v>1056</v>
      </c>
      <c r="L81" s="311">
        <v>1</v>
      </c>
      <c r="M81" s="200">
        <v>85000</v>
      </c>
      <c r="N81" s="315">
        <v>1.05</v>
      </c>
      <c r="O81" s="315">
        <v>1.05</v>
      </c>
      <c r="P81" s="315">
        <v>1.1000000000000001</v>
      </c>
      <c r="Q81" s="350">
        <f t="shared" si="10"/>
        <v>103100</v>
      </c>
      <c r="R81" s="356">
        <f t="shared" si="11"/>
        <v>1134100</v>
      </c>
      <c r="S81" s="304"/>
      <c r="T81" s="315"/>
      <c r="U81" s="315"/>
      <c r="V81" s="315"/>
      <c r="W81" s="315"/>
      <c r="X81" s="315"/>
      <c r="Y81" s="466"/>
      <c r="Z81" s="342">
        <f t="shared" si="5"/>
        <v>1134100</v>
      </c>
    </row>
    <row r="82" spans="1:26" s="196" customFormat="1" ht="18.75" customHeight="1" x14ac:dyDescent="0.2">
      <c r="A82" s="1132"/>
      <c r="B82" s="1077"/>
      <c r="C82" s="179" t="s">
        <v>49</v>
      </c>
      <c r="D82" s="318"/>
      <c r="E82" s="199"/>
      <c r="F82" s="200"/>
      <c r="G82" s="315"/>
      <c r="H82" s="315"/>
      <c r="I82" s="339">
        <f t="shared" si="3"/>
        <v>0</v>
      </c>
      <c r="J82" s="356">
        <f t="shared" si="4"/>
        <v>0</v>
      </c>
      <c r="K82" s="304">
        <v>148</v>
      </c>
      <c r="L82" s="311">
        <v>1</v>
      </c>
      <c r="M82" s="200">
        <v>60000</v>
      </c>
      <c r="N82" s="315">
        <v>1.05</v>
      </c>
      <c r="O82" s="315">
        <v>1.05</v>
      </c>
      <c r="P82" s="315">
        <v>1</v>
      </c>
      <c r="Q82" s="350">
        <f t="shared" si="10"/>
        <v>66200</v>
      </c>
      <c r="R82" s="356">
        <f t="shared" si="11"/>
        <v>728200</v>
      </c>
      <c r="S82" s="304"/>
      <c r="T82" s="315"/>
      <c r="U82" s="315"/>
      <c r="V82" s="315"/>
      <c r="W82" s="315"/>
      <c r="X82" s="315"/>
      <c r="Y82" s="466"/>
      <c r="Z82" s="342">
        <f t="shared" si="5"/>
        <v>728200</v>
      </c>
    </row>
    <row r="83" spans="1:26" s="196" customFormat="1" ht="18.75" customHeight="1" x14ac:dyDescent="0.2">
      <c r="A83" s="1133"/>
      <c r="B83" s="1074"/>
      <c r="C83" s="179" t="s">
        <v>48</v>
      </c>
      <c r="D83" s="318" t="s">
        <v>186</v>
      </c>
      <c r="E83" s="199">
        <v>1</v>
      </c>
      <c r="F83" s="200">
        <v>60000</v>
      </c>
      <c r="G83" s="315">
        <v>1.05</v>
      </c>
      <c r="H83" s="315">
        <v>1.05</v>
      </c>
      <c r="I83" s="339">
        <f t="shared" si="3"/>
        <v>66200</v>
      </c>
      <c r="J83" s="356">
        <f t="shared" si="4"/>
        <v>728200</v>
      </c>
      <c r="K83" s="304"/>
      <c r="L83" s="311"/>
      <c r="M83" s="200"/>
      <c r="N83" s="315"/>
      <c r="O83" s="315"/>
      <c r="P83" s="315"/>
      <c r="Q83" s="350">
        <f t="shared" si="10"/>
        <v>0</v>
      </c>
      <c r="R83" s="356">
        <f t="shared" si="11"/>
        <v>0</v>
      </c>
      <c r="S83" s="304"/>
      <c r="T83" s="315"/>
      <c r="U83" s="315"/>
      <c r="V83" s="315"/>
      <c r="W83" s="315"/>
      <c r="X83" s="315"/>
      <c r="Y83" s="466"/>
      <c r="Z83" s="342">
        <f t="shared" si="5"/>
        <v>728200</v>
      </c>
    </row>
    <row r="84" spans="1:26" s="196" customFormat="1" ht="18.75" customHeight="1" x14ac:dyDescent="0.2">
      <c r="A84" s="182">
        <v>18</v>
      </c>
      <c r="B84" s="462" t="s">
        <v>47</v>
      </c>
      <c r="C84" s="179" t="s">
        <v>46</v>
      </c>
      <c r="D84" s="318"/>
      <c r="E84" s="199"/>
      <c r="F84" s="200"/>
      <c r="G84" s="315"/>
      <c r="H84" s="315"/>
      <c r="I84" s="339">
        <f t="shared" si="3"/>
        <v>0</v>
      </c>
      <c r="J84" s="356">
        <f t="shared" si="4"/>
        <v>0</v>
      </c>
      <c r="K84" s="304">
        <v>841</v>
      </c>
      <c r="L84" s="311">
        <v>1</v>
      </c>
      <c r="M84" s="200">
        <v>80000</v>
      </c>
      <c r="N84" s="315">
        <v>1.05</v>
      </c>
      <c r="O84" s="315">
        <v>1.05</v>
      </c>
      <c r="P84" s="315">
        <v>1.1000000000000001</v>
      </c>
      <c r="Q84" s="350">
        <f t="shared" si="10"/>
        <v>97000</v>
      </c>
      <c r="R84" s="356">
        <f t="shared" si="11"/>
        <v>1067000</v>
      </c>
      <c r="S84" s="304"/>
      <c r="T84" s="315"/>
      <c r="U84" s="315"/>
      <c r="V84" s="315"/>
      <c r="W84" s="315"/>
      <c r="X84" s="315"/>
      <c r="Y84" s="466"/>
      <c r="Z84" s="342">
        <f t="shared" si="5"/>
        <v>1067000</v>
      </c>
    </row>
    <row r="85" spans="1:26" s="196" customFormat="1" ht="18.75" customHeight="1" x14ac:dyDescent="0.2">
      <c r="A85" s="1122">
        <v>19</v>
      </c>
      <c r="B85" s="1042" t="s">
        <v>45</v>
      </c>
      <c r="C85" s="179" t="s">
        <v>44</v>
      </c>
      <c r="D85" s="318"/>
      <c r="E85" s="199"/>
      <c r="F85" s="200"/>
      <c r="G85" s="315"/>
      <c r="H85" s="315"/>
      <c r="I85" s="339">
        <f t="shared" si="3"/>
        <v>0</v>
      </c>
      <c r="J85" s="356">
        <f t="shared" si="4"/>
        <v>0</v>
      </c>
      <c r="K85" s="304">
        <v>306</v>
      </c>
      <c r="L85" s="311">
        <v>1</v>
      </c>
      <c r="M85" s="200">
        <v>60000</v>
      </c>
      <c r="N85" s="315">
        <v>1.05</v>
      </c>
      <c r="O85" s="315">
        <v>1.05</v>
      </c>
      <c r="P85" s="315">
        <v>1</v>
      </c>
      <c r="Q85" s="350">
        <f t="shared" si="10"/>
        <v>66200</v>
      </c>
      <c r="R85" s="356">
        <f t="shared" si="11"/>
        <v>728200</v>
      </c>
      <c r="S85" s="304"/>
      <c r="T85" s="315"/>
      <c r="U85" s="315"/>
      <c r="V85" s="315"/>
      <c r="W85" s="315"/>
      <c r="X85" s="315"/>
      <c r="Y85" s="466"/>
      <c r="Z85" s="342">
        <f t="shared" si="5"/>
        <v>728200</v>
      </c>
    </row>
    <row r="86" spans="1:26" s="183" customFormat="1" ht="18.75" customHeight="1" x14ac:dyDescent="0.2">
      <c r="A86" s="1122"/>
      <c r="B86" s="1042"/>
      <c r="C86" s="179" t="s">
        <v>43</v>
      </c>
      <c r="D86" s="318"/>
      <c r="E86" s="199"/>
      <c r="F86" s="200"/>
      <c r="G86" s="315"/>
      <c r="H86" s="315"/>
      <c r="I86" s="339">
        <f t="shared" si="3"/>
        <v>0</v>
      </c>
      <c r="J86" s="356">
        <f t="shared" si="4"/>
        <v>0</v>
      </c>
      <c r="K86" s="304">
        <v>120</v>
      </c>
      <c r="L86" s="311">
        <v>1</v>
      </c>
      <c r="M86" s="200">
        <v>60000</v>
      </c>
      <c r="N86" s="315">
        <v>1.05</v>
      </c>
      <c r="O86" s="315">
        <v>1.05</v>
      </c>
      <c r="P86" s="315">
        <v>1.1000000000000001</v>
      </c>
      <c r="Q86" s="350">
        <f t="shared" si="10"/>
        <v>72800</v>
      </c>
      <c r="R86" s="356">
        <f t="shared" si="11"/>
        <v>800800</v>
      </c>
      <c r="S86" s="317"/>
      <c r="T86" s="318"/>
      <c r="U86" s="318"/>
      <c r="V86" s="318"/>
      <c r="W86" s="318"/>
      <c r="X86" s="318"/>
      <c r="Y86" s="467"/>
      <c r="Z86" s="342">
        <f t="shared" si="5"/>
        <v>800800</v>
      </c>
    </row>
    <row r="87" spans="1:26" s="183" customFormat="1" ht="18.75" customHeight="1" x14ac:dyDescent="0.2">
      <c r="A87" s="1122">
        <v>20</v>
      </c>
      <c r="B87" s="1042" t="s">
        <v>42</v>
      </c>
      <c r="C87" s="179" t="s">
        <v>196</v>
      </c>
      <c r="D87" s="318"/>
      <c r="E87" s="199"/>
      <c r="F87" s="200"/>
      <c r="G87" s="315"/>
      <c r="H87" s="315"/>
      <c r="I87" s="339">
        <f t="shared" si="3"/>
        <v>0</v>
      </c>
      <c r="J87" s="356">
        <f t="shared" si="4"/>
        <v>0</v>
      </c>
      <c r="K87" s="304">
        <v>503</v>
      </c>
      <c r="L87" s="311">
        <v>1</v>
      </c>
      <c r="M87" s="200">
        <v>75000</v>
      </c>
      <c r="N87" s="315">
        <v>1.05</v>
      </c>
      <c r="O87" s="315">
        <v>1.05</v>
      </c>
      <c r="P87" s="315">
        <v>1.1000000000000001</v>
      </c>
      <c r="Q87" s="350">
        <f t="shared" si="10"/>
        <v>91000</v>
      </c>
      <c r="R87" s="356">
        <f t="shared" si="11"/>
        <v>1001000</v>
      </c>
      <c r="S87" s="317"/>
      <c r="T87" s="318"/>
      <c r="U87" s="318"/>
      <c r="V87" s="318"/>
      <c r="W87" s="318"/>
      <c r="X87" s="318"/>
      <c r="Y87" s="467"/>
      <c r="Z87" s="342">
        <f t="shared" si="5"/>
        <v>1001000</v>
      </c>
    </row>
    <row r="88" spans="1:26" s="183" customFormat="1" ht="18.75" customHeight="1" x14ac:dyDescent="0.2">
      <c r="A88" s="1122"/>
      <c r="B88" s="1042"/>
      <c r="C88" s="179" t="s">
        <v>195</v>
      </c>
      <c r="D88" s="318"/>
      <c r="E88" s="199"/>
      <c r="F88" s="200"/>
      <c r="G88" s="315"/>
      <c r="H88" s="315"/>
      <c r="I88" s="339">
        <f t="shared" si="3"/>
        <v>0</v>
      </c>
      <c r="J88" s="356">
        <f t="shared" si="4"/>
        <v>0</v>
      </c>
      <c r="K88" s="304">
        <v>779</v>
      </c>
      <c r="L88" s="311">
        <v>1</v>
      </c>
      <c r="M88" s="200">
        <v>80000</v>
      </c>
      <c r="N88" s="315">
        <v>1.05</v>
      </c>
      <c r="O88" s="315">
        <v>1.05</v>
      </c>
      <c r="P88" s="315">
        <v>1</v>
      </c>
      <c r="Q88" s="350">
        <f t="shared" si="10"/>
        <v>88200</v>
      </c>
      <c r="R88" s="356">
        <f t="shared" si="11"/>
        <v>970200</v>
      </c>
      <c r="S88" s="317"/>
      <c r="T88" s="318"/>
      <c r="U88" s="318"/>
      <c r="V88" s="318"/>
      <c r="W88" s="318"/>
      <c r="X88" s="318"/>
      <c r="Y88" s="467"/>
      <c r="Z88" s="342">
        <f t="shared" si="5"/>
        <v>970200</v>
      </c>
    </row>
    <row r="89" spans="1:26" s="183" customFormat="1" ht="18.75" customHeight="1" x14ac:dyDescent="0.2">
      <c r="A89" s="1122"/>
      <c r="B89" s="1042"/>
      <c r="C89" s="179" t="s">
        <v>40</v>
      </c>
      <c r="D89" s="318"/>
      <c r="E89" s="199"/>
      <c r="F89" s="200"/>
      <c r="G89" s="315"/>
      <c r="H89" s="315"/>
      <c r="I89" s="339">
        <f t="shared" si="3"/>
        <v>0</v>
      </c>
      <c r="J89" s="356">
        <f t="shared" si="4"/>
        <v>0</v>
      </c>
      <c r="K89" s="304" t="s">
        <v>211</v>
      </c>
      <c r="L89" s="311">
        <v>1</v>
      </c>
      <c r="M89" s="200">
        <v>60000</v>
      </c>
      <c r="N89" s="315">
        <v>1.05</v>
      </c>
      <c r="O89" s="315">
        <v>1.05</v>
      </c>
      <c r="P89" s="315">
        <v>1</v>
      </c>
      <c r="Q89" s="350">
        <f t="shared" si="10"/>
        <v>66200</v>
      </c>
      <c r="R89" s="356">
        <f t="shared" si="11"/>
        <v>728200</v>
      </c>
      <c r="S89" s="317"/>
      <c r="T89" s="318"/>
      <c r="U89" s="318"/>
      <c r="V89" s="318"/>
      <c r="W89" s="318"/>
      <c r="X89" s="318"/>
      <c r="Y89" s="467"/>
      <c r="Z89" s="342">
        <f t="shared" si="5"/>
        <v>728200</v>
      </c>
    </row>
    <row r="90" spans="1:26" s="183" customFormat="1" ht="18.75" customHeight="1" x14ac:dyDescent="0.2">
      <c r="A90" s="1122">
        <v>21</v>
      </c>
      <c r="B90" s="1042" t="s">
        <v>39</v>
      </c>
      <c r="C90" s="179" t="s">
        <v>38</v>
      </c>
      <c r="D90" s="318"/>
      <c r="E90" s="199"/>
      <c r="F90" s="200"/>
      <c r="G90" s="315"/>
      <c r="H90" s="315"/>
      <c r="I90" s="339">
        <f t="shared" si="3"/>
        <v>0</v>
      </c>
      <c r="J90" s="356">
        <f t="shared" si="4"/>
        <v>0</v>
      </c>
      <c r="K90" s="304">
        <v>232</v>
      </c>
      <c r="L90" s="311">
        <v>1</v>
      </c>
      <c r="M90" s="200">
        <v>60000</v>
      </c>
      <c r="N90" s="315">
        <v>1.05</v>
      </c>
      <c r="O90" s="315">
        <v>1.05</v>
      </c>
      <c r="P90" s="315">
        <v>1.1000000000000001</v>
      </c>
      <c r="Q90" s="350">
        <f t="shared" si="10"/>
        <v>72800</v>
      </c>
      <c r="R90" s="356">
        <f t="shared" si="11"/>
        <v>800800</v>
      </c>
      <c r="S90" s="317"/>
      <c r="T90" s="318"/>
      <c r="U90" s="318"/>
      <c r="V90" s="318"/>
      <c r="W90" s="318"/>
      <c r="X90" s="318"/>
      <c r="Y90" s="467"/>
      <c r="Z90" s="342">
        <f t="shared" si="5"/>
        <v>800800</v>
      </c>
    </row>
    <row r="91" spans="1:26" s="183" customFormat="1" ht="18.75" customHeight="1" x14ac:dyDescent="0.2">
      <c r="A91" s="1122"/>
      <c r="B91" s="1042"/>
      <c r="C91" s="179" t="s">
        <v>250</v>
      </c>
      <c r="D91" s="318"/>
      <c r="E91" s="199"/>
      <c r="F91" s="200"/>
      <c r="G91" s="315"/>
      <c r="H91" s="315"/>
      <c r="I91" s="339">
        <f t="shared" si="3"/>
        <v>0</v>
      </c>
      <c r="J91" s="356">
        <f t="shared" si="4"/>
        <v>0</v>
      </c>
      <c r="K91" s="304">
        <v>76</v>
      </c>
      <c r="L91" s="311">
        <v>1</v>
      </c>
      <c r="M91" s="200">
        <v>60000</v>
      </c>
      <c r="N91" s="315">
        <v>1.05</v>
      </c>
      <c r="O91" s="315">
        <v>1.05</v>
      </c>
      <c r="P91" s="315">
        <v>1</v>
      </c>
      <c r="Q91" s="350">
        <f t="shared" si="10"/>
        <v>66200</v>
      </c>
      <c r="R91" s="356">
        <f t="shared" si="11"/>
        <v>728200</v>
      </c>
      <c r="S91" s="317"/>
      <c r="T91" s="318"/>
      <c r="U91" s="318"/>
      <c r="V91" s="318"/>
      <c r="W91" s="318"/>
      <c r="X91" s="318"/>
      <c r="Y91" s="467"/>
      <c r="Z91" s="342">
        <f t="shared" si="5"/>
        <v>728200</v>
      </c>
    </row>
    <row r="92" spans="1:26" s="183" customFormat="1" ht="18.75" customHeight="1" x14ac:dyDescent="0.2">
      <c r="A92" s="1122"/>
      <c r="B92" s="1042"/>
      <c r="C92" s="179" t="s">
        <v>248</v>
      </c>
      <c r="D92" s="318" t="s">
        <v>186</v>
      </c>
      <c r="E92" s="199">
        <v>1</v>
      </c>
      <c r="F92" s="200">
        <v>60000</v>
      </c>
      <c r="G92" s="315">
        <v>1.05</v>
      </c>
      <c r="H92" s="315">
        <v>1.05</v>
      </c>
      <c r="I92" s="339">
        <f t="shared" si="3"/>
        <v>66200</v>
      </c>
      <c r="J92" s="356">
        <f t="shared" si="4"/>
        <v>728200</v>
      </c>
      <c r="K92" s="304"/>
      <c r="L92" s="311"/>
      <c r="M92" s="200"/>
      <c r="N92" s="315"/>
      <c r="O92" s="315"/>
      <c r="P92" s="315"/>
      <c r="Q92" s="350">
        <f t="shared" si="10"/>
        <v>0</v>
      </c>
      <c r="R92" s="356">
        <f t="shared" si="11"/>
        <v>0</v>
      </c>
      <c r="S92" s="317"/>
      <c r="T92" s="318"/>
      <c r="U92" s="318"/>
      <c r="V92" s="318"/>
      <c r="W92" s="318"/>
      <c r="X92" s="318"/>
      <c r="Y92" s="467"/>
      <c r="Z92" s="342">
        <f t="shared" si="5"/>
        <v>728200</v>
      </c>
    </row>
    <row r="93" spans="1:26" s="183" customFormat="1" ht="18.75" customHeight="1" x14ac:dyDescent="0.2">
      <c r="A93" s="1122"/>
      <c r="B93" s="1042"/>
      <c r="C93" s="208" t="s">
        <v>249</v>
      </c>
      <c r="D93" s="318" t="s">
        <v>186</v>
      </c>
      <c r="E93" s="199">
        <v>1</v>
      </c>
      <c r="F93" s="200">
        <v>60000</v>
      </c>
      <c r="G93" s="315">
        <v>1.05</v>
      </c>
      <c r="H93" s="315">
        <v>1.05</v>
      </c>
      <c r="I93" s="339">
        <f t="shared" si="3"/>
        <v>66200</v>
      </c>
      <c r="J93" s="356">
        <f t="shared" si="4"/>
        <v>728200</v>
      </c>
      <c r="K93" s="304"/>
      <c r="L93" s="311"/>
      <c r="M93" s="200"/>
      <c r="N93" s="315"/>
      <c r="O93" s="315"/>
      <c r="P93" s="315"/>
      <c r="Q93" s="350">
        <f t="shared" si="10"/>
        <v>0</v>
      </c>
      <c r="R93" s="356">
        <f t="shared" si="11"/>
        <v>0</v>
      </c>
      <c r="S93" s="317"/>
      <c r="T93" s="318"/>
      <c r="U93" s="318"/>
      <c r="V93" s="318"/>
      <c r="W93" s="318"/>
      <c r="X93" s="318"/>
      <c r="Y93" s="467"/>
      <c r="Z93" s="342">
        <f t="shared" si="5"/>
        <v>728200</v>
      </c>
    </row>
    <row r="94" spans="1:26" s="183" customFormat="1" ht="18.75" customHeight="1" x14ac:dyDescent="0.2">
      <c r="A94" s="182">
        <v>22</v>
      </c>
      <c r="B94" s="462" t="s">
        <v>35</v>
      </c>
      <c r="C94" s="179" t="s">
        <v>34</v>
      </c>
      <c r="D94" s="318"/>
      <c r="E94" s="199"/>
      <c r="F94" s="200"/>
      <c r="G94" s="315"/>
      <c r="H94" s="315"/>
      <c r="I94" s="339">
        <f t="shared" si="3"/>
        <v>0</v>
      </c>
      <c r="J94" s="356">
        <f t="shared" si="4"/>
        <v>0</v>
      </c>
      <c r="K94" s="304">
        <v>679</v>
      </c>
      <c r="L94" s="311">
        <v>1</v>
      </c>
      <c r="M94" s="200">
        <v>80000</v>
      </c>
      <c r="N94" s="315">
        <v>1.05</v>
      </c>
      <c r="O94" s="315">
        <v>1.05</v>
      </c>
      <c r="P94" s="315">
        <v>1.1000000000000001</v>
      </c>
      <c r="Q94" s="350">
        <f t="shared" si="10"/>
        <v>97000</v>
      </c>
      <c r="R94" s="356">
        <f t="shared" si="11"/>
        <v>1067000</v>
      </c>
      <c r="S94" s="317"/>
      <c r="T94" s="318"/>
      <c r="U94" s="318"/>
      <c r="V94" s="318"/>
      <c r="W94" s="318"/>
      <c r="X94" s="318"/>
      <c r="Y94" s="467"/>
      <c r="Z94" s="342">
        <f t="shared" si="5"/>
        <v>1067000</v>
      </c>
    </row>
    <row r="95" spans="1:26" s="183" customFormat="1" ht="18.75" customHeight="1" x14ac:dyDescent="0.2">
      <c r="A95" s="182">
        <v>23</v>
      </c>
      <c r="B95" s="462" t="s">
        <v>33</v>
      </c>
      <c r="C95" s="179" t="s">
        <v>33</v>
      </c>
      <c r="D95" s="318"/>
      <c r="E95" s="199"/>
      <c r="F95" s="200"/>
      <c r="G95" s="315"/>
      <c r="H95" s="315"/>
      <c r="I95" s="339">
        <f t="shared" si="3"/>
        <v>0</v>
      </c>
      <c r="J95" s="356">
        <f t="shared" si="4"/>
        <v>0</v>
      </c>
      <c r="K95" s="304">
        <v>416</v>
      </c>
      <c r="L95" s="311">
        <v>1</v>
      </c>
      <c r="M95" s="200">
        <v>70000</v>
      </c>
      <c r="N95" s="315">
        <v>1.05</v>
      </c>
      <c r="O95" s="315">
        <v>1.05</v>
      </c>
      <c r="P95" s="315">
        <v>1.1000000000000001</v>
      </c>
      <c r="Q95" s="350">
        <f t="shared" si="10"/>
        <v>84900</v>
      </c>
      <c r="R95" s="356">
        <f t="shared" si="11"/>
        <v>933900</v>
      </c>
      <c r="S95" s="317"/>
      <c r="T95" s="318"/>
      <c r="U95" s="318"/>
      <c r="V95" s="318"/>
      <c r="W95" s="318"/>
      <c r="X95" s="318"/>
      <c r="Y95" s="467"/>
      <c r="Z95" s="342">
        <f t="shared" si="5"/>
        <v>933900</v>
      </c>
    </row>
    <row r="96" spans="1:26" s="183" customFormat="1" ht="18.75" customHeight="1" x14ac:dyDescent="0.2">
      <c r="A96" s="1122">
        <v>24</v>
      </c>
      <c r="B96" s="1042" t="s">
        <v>32</v>
      </c>
      <c r="C96" s="179" t="s">
        <v>31</v>
      </c>
      <c r="D96" s="318"/>
      <c r="E96" s="199"/>
      <c r="F96" s="200"/>
      <c r="G96" s="315"/>
      <c r="H96" s="315"/>
      <c r="I96" s="339">
        <f t="shared" si="3"/>
        <v>0</v>
      </c>
      <c r="J96" s="356">
        <f t="shared" si="4"/>
        <v>0</v>
      </c>
      <c r="K96" s="304">
        <v>547</v>
      </c>
      <c r="L96" s="311">
        <v>1</v>
      </c>
      <c r="M96" s="200">
        <v>75000</v>
      </c>
      <c r="N96" s="315">
        <v>1.05</v>
      </c>
      <c r="O96" s="315">
        <v>1.05</v>
      </c>
      <c r="P96" s="315">
        <v>1</v>
      </c>
      <c r="Q96" s="350">
        <f t="shared" si="10"/>
        <v>82700</v>
      </c>
      <c r="R96" s="356">
        <f t="shared" si="11"/>
        <v>909700</v>
      </c>
      <c r="S96" s="317"/>
      <c r="T96" s="318"/>
      <c r="U96" s="318"/>
      <c r="V96" s="318"/>
      <c r="W96" s="318"/>
      <c r="X96" s="318"/>
      <c r="Y96" s="467"/>
      <c r="Z96" s="342">
        <f t="shared" si="5"/>
        <v>909700</v>
      </c>
    </row>
    <row r="97" spans="1:26" s="183" customFormat="1" ht="18.75" customHeight="1" x14ac:dyDescent="0.2">
      <c r="A97" s="1122"/>
      <c r="B97" s="1042"/>
      <c r="C97" s="179" t="s">
        <v>31</v>
      </c>
      <c r="D97" s="318" t="s">
        <v>185</v>
      </c>
      <c r="E97" s="199">
        <v>1</v>
      </c>
      <c r="F97" s="200">
        <v>65000</v>
      </c>
      <c r="G97" s="315">
        <v>1.05</v>
      </c>
      <c r="H97" s="315">
        <v>1.05</v>
      </c>
      <c r="I97" s="339">
        <f t="shared" si="3"/>
        <v>71700</v>
      </c>
      <c r="J97" s="356">
        <f t="shared" si="4"/>
        <v>788700</v>
      </c>
      <c r="K97" s="304"/>
      <c r="L97" s="311"/>
      <c r="M97" s="200"/>
      <c r="N97" s="315"/>
      <c r="O97" s="315"/>
      <c r="P97" s="315"/>
      <c r="Q97" s="350">
        <f t="shared" si="10"/>
        <v>0</v>
      </c>
      <c r="R97" s="356">
        <f t="shared" si="11"/>
        <v>0</v>
      </c>
      <c r="S97" s="317"/>
      <c r="T97" s="318"/>
      <c r="U97" s="318"/>
      <c r="V97" s="318"/>
      <c r="W97" s="318"/>
      <c r="X97" s="318"/>
      <c r="Y97" s="467"/>
      <c r="Z97" s="342">
        <f t="shared" si="5"/>
        <v>788700</v>
      </c>
    </row>
    <row r="98" spans="1:26" s="183" customFormat="1" ht="18.75" customHeight="1" x14ac:dyDescent="0.2">
      <c r="A98" s="1122"/>
      <c r="B98" s="1042"/>
      <c r="C98" s="179" t="s">
        <v>30</v>
      </c>
      <c r="D98" s="318" t="s">
        <v>185</v>
      </c>
      <c r="E98" s="199">
        <v>1</v>
      </c>
      <c r="F98" s="200">
        <v>65000</v>
      </c>
      <c r="G98" s="315">
        <v>1.05</v>
      </c>
      <c r="H98" s="315">
        <v>1.05</v>
      </c>
      <c r="I98" s="339">
        <f t="shared" si="3"/>
        <v>71700</v>
      </c>
      <c r="J98" s="356">
        <f t="shared" si="4"/>
        <v>788700</v>
      </c>
      <c r="K98" s="304"/>
      <c r="L98" s="311"/>
      <c r="M98" s="200"/>
      <c r="N98" s="315"/>
      <c r="O98" s="315"/>
      <c r="P98" s="315"/>
      <c r="Q98" s="350">
        <f t="shared" si="10"/>
        <v>0</v>
      </c>
      <c r="R98" s="356">
        <f t="shared" si="11"/>
        <v>0</v>
      </c>
      <c r="S98" s="317"/>
      <c r="T98" s="318"/>
      <c r="U98" s="318"/>
      <c r="V98" s="318"/>
      <c r="W98" s="318"/>
      <c r="X98" s="318"/>
      <c r="Y98" s="467"/>
      <c r="Z98" s="342">
        <f t="shared" si="5"/>
        <v>788700</v>
      </c>
    </row>
    <row r="99" spans="1:26" s="183" customFormat="1" ht="18.75" customHeight="1" x14ac:dyDescent="0.2">
      <c r="A99" s="1122">
        <v>25</v>
      </c>
      <c r="B99" s="1073" t="s">
        <v>29</v>
      </c>
      <c r="C99" s="179" t="s">
        <v>28</v>
      </c>
      <c r="D99" s="318"/>
      <c r="E99" s="199"/>
      <c r="F99" s="200"/>
      <c r="G99" s="315"/>
      <c r="H99" s="315"/>
      <c r="I99" s="339">
        <f t="shared" si="3"/>
        <v>0</v>
      </c>
      <c r="J99" s="356">
        <f t="shared" si="4"/>
        <v>0</v>
      </c>
      <c r="K99" s="304">
        <v>633</v>
      </c>
      <c r="L99" s="311">
        <v>1</v>
      </c>
      <c r="M99" s="200">
        <v>80000</v>
      </c>
      <c r="N99" s="315">
        <v>1.05</v>
      </c>
      <c r="O99" s="315">
        <v>1.05</v>
      </c>
      <c r="P99" s="315">
        <v>1.1000000000000001</v>
      </c>
      <c r="Q99" s="350">
        <f t="shared" si="10"/>
        <v>97000</v>
      </c>
      <c r="R99" s="356">
        <f t="shared" si="11"/>
        <v>1067000</v>
      </c>
      <c r="S99" s="317"/>
      <c r="T99" s="318"/>
      <c r="U99" s="318"/>
      <c r="V99" s="318"/>
      <c r="W99" s="318"/>
      <c r="X99" s="318"/>
      <c r="Y99" s="467"/>
      <c r="Z99" s="342">
        <f t="shared" si="5"/>
        <v>1067000</v>
      </c>
    </row>
    <row r="100" spans="1:26" s="183" customFormat="1" ht="18.75" customHeight="1" x14ac:dyDescent="0.2">
      <c r="A100" s="1122"/>
      <c r="B100" s="1077"/>
      <c r="C100" s="179" t="s">
        <v>260</v>
      </c>
      <c r="D100" s="318" t="s">
        <v>185</v>
      </c>
      <c r="E100" s="199">
        <v>1</v>
      </c>
      <c r="F100" s="200">
        <v>65000</v>
      </c>
      <c r="G100" s="315">
        <v>1.05</v>
      </c>
      <c r="H100" s="315">
        <v>1.05</v>
      </c>
      <c r="I100" s="339">
        <f t="shared" si="3"/>
        <v>71700</v>
      </c>
      <c r="J100" s="356">
        <f t="shared" si="4"/>
        <v>788700</v>
      </c>
      <c r="K100" s="304"/>
      <c r="L100" s="311"/>
      <c r="M100" s="200"/>
      <c r="N100" s="315"/>
      <c r="O100" s="315"/>
      <c r="P100" s="315"/>
      <c r="Q100" s="350">
        <f t="shared" si="10"/>
        <v>0</v>
      </c>
      <c r="R100" s="356">
        <f t="shared" si="11"/>
        <v>0</v>
      </c>
      <c r="S100" s="317"/>
      <c r="T100" s="318"/>
      <c r="U100" s="318"/>
      <c r="V100" s="318"/>
      <c r="W100" s="318"/>
      <c r="X100" s="318"/>
      <c r="Y100" s="467"/>
      <c r="Z100" s="342">
        <f t="shared" si="5"/>
        <v>788700</v>
      </c>
    </row>
    <row r="101" spans="1:26" s="183" customFormat="1" ht="18.75" customHeight="1" x14ac:dyDescent="0.2">
      <c r="A101" s="1122"/>
      <c r="B101" s="1077"/>
      <c r="C101" s="179" t="s">
        <v>251</v>
      </c>
      <c r="D101" s="318" t="s">
        <v>185</v>
      </c>
      <c r="E101" s="199">
        <v>1</v>
      </c>
      <c r="F101" s="200">
        <v>65000</v>
      </c>
      <c r="G101" s="315">
        <v>1.05</v>
      </c>
      <c r="H101" s="315">
        <v>1.05</v>
      </c>
      <c r="I101" s="339">
        <f t="shared" si="3"/>
        <v>71700</v>
      </c>
      <c r="J101" s="356">
        <f t="shared" si="4"/>
        <v>788700</v>
      </c>
      <c r="K101" s="304"/>
      <c r="L101" s="311"/>
      <c r="M101" s="200"/>
      <c r="N101" s="315"/>
      <c r="O101" s="315"/>
      <c r="P101" s="315"/>
      <c r="Q101" s="350">
        <f t="shared" si="10"/>
        <v>0</v>
      </c>
      <c r="R101" s="356">
        <f t="shared" si="11"/>
        <v>0</v>
      </c>
      <c r="S101" s="317"/>
      <c r="T101" s="318"/>
      <c r="U101" s="318"/>
      <c r="V101" s="318"/>
      <c r="W101" s="318"/>
      <c r="X101" s="318"/>
      <c r="Y101" s="467"/>
      <c r="Z101" s="342">
        <f t="shared" si="5"/>
        <v>788700</v>
      </c>
    </row>
    <row r="102" spans="1:26" s="183" customFormat="1" ht="18.75" customHeight="1" x14ac:dyDescent="0.2">
      <c r="A102" s="1122">
        <v>26</v>
      </c>
      <c r="B102" s="1042" t="s">
        <v>26</v>
      </c>
      <c r="C102" s="179" t="s">
        <v>25</v>
      </c>
      <c r="D102" s="318"/>
      <c r="E102" s="199"/>
      <c r="F102" s="200"/>
      <c r="G102" s="315"/>
      <c r="H102" s="315"/>
      <c r="I102" s="339">
        <f t="shared" si="3"/>
        <v>0</v>
      </c>
      <c r="J102" s="356">
        <f t="shared" si="4"/>
        <v>0</v>
      </c>
      <c r="K102" s="304">
        <v>144</v>
      </c>
      <c r="L102" s="311">
        <v>1</v>
      </c>
      <c r="M102" s="200">
        <v>60000</v>
      </c>
      <c r="N102" s="315">
        <v>1.05</v>
      </c>
      <c r="O102" s="315">
        <v>1.05</v>
      </c>
      <c r="P102" s="315">
        <v>1</v>
      </c>
      <c r="Q102" s="350">
        <f t="shared" si="10"/>
        <v>66200</v>
      </c>
      <c r="R102" s="356">
        <f t="shared" si="11"/>
        <v>728200</v>
      </c>
      <c r="S102" s="317"/>
      <c r="T102" s="318"/>
      <c r="U102" s="318"/>
      <c r="V102" s="318"/>
      <c r="W102" s="318"/>
      <c r="X102" s="318"/>
      <c r="Y102" s="467"/>
      <c r="Z102" s="342">
        <f t="shared" si="5"/>
        <v>728200</v>
      </c>
    </row>
    <row r="103" spans="1:26" s="183" customFormat="1" ht="18.75" customHeight="1" x14ac:dyDescent="0.2">
      <c r="A103" s="1122"/>
      <c r="B103" s="1042"/>
      <c r="C103" s="179" t="s">
        <v>24</v>
      </c>
      <c r="D103" s="318"/>
      <c r="E103" s="199"/>
      <c r="F103" s="200"/>
      <c r="G103" s="315"/>
      <c r="H103" s="315"/>
      <c r="I103" s="339">
        <f t="shared" si="3"/>
        <v>0</v>
      </c>
      <c r="J103" s="356">
        <f t="shared" si="4"/>
        <v>0</v>
      </c>
      <c r="K103" s="304">
        <v>106</v>
      </c>
      <c r="L103" s="311">
        <v>1</v>
      </c>
      <c r="M103" s="200">
        <v>60000</v>
      </c>
      <c r="N103" s="315">
        <v>1.05</v>
      </c>
      <c r="O103" s="315">
        <v>1.05</v>
      </c>
      <c r="P103" s="315">
        <v>1</v>
      </c>
      <c r="Q103" s="350">
        <f t="shared" si="10"/>
        <v>66200</v>
      </c>
      <c r="R103" s="356">
        <f t="shared" si="11"/>
        <v>728200</v>
      </c>
      <c r="S103" s="317"/>
      <c r="T103" s="318"/>
      <c r="U103" s="318"/>
      <c r="V103" s="318"/>
      <c r="W103" s="318"/>
      <c r="X103" s="318"/>
      <c r="Y103" s="467"/>
      <c r="Z103" s="342">
        <f t="shared" si="5"/>
        <v>728200</v>
      </c>
    </row>
    <row r="104" spans="1:26" s="183" customFormat="1" ht="18.75" customHeight="1" x14ac:dyDescent="0.2">
      <c r="A104" s="182">
        <v>27</v>
      </c>
      <c r="B104" s="462" t="s">
        <v>23</v>
      </c>
      <c r="C104" s="179"/>
      <c r="D104" s="318"/>
      <c r="E104" s="199"/>
      <c r="F104" s="200"/>
      <c r="G104" s="315"/>
      <c r="H104" s="315"/>
      <c r="I104" s="339">
        <f t="shared" si="3"/>
        <v>0</v>
      </c>
      <c r="J104" s="356">
        <f t="shared" si="4"/>
        <v>0</v>
      </c>
      <c r="K104" s="304"/>
      <c r="L104" s="311"/>
      <c r="M104" s="200"/>
      <c r="N104" s="315"/>
      <c r="O104" s="315"/>
      <c r="P104" s="315"/>
      <c r="Q104" s="350">
        <f t="shared" si="10"/>
        <v>0</v>
      </c>
      <c r="R104" s="356">
        <f t="shared" si="11"/>
        <v>0</v>
      </c>
      <c r="S104" s="317"/>
      <c r="T104" s="318"/>
      <c r="U104" s="318"/>
      <c r="V104" s="318"/>
      <c r="W104" s="318"/>
      <c r="X104" s="318"/>
      <c r="Y104" s="467"/>
      <c r="Z104" s="342">
        <f t="shared" si="5"/>
        <v>0</v>
      </c>
    </row>
    <row r="105" spans="1:26" s="183" customFormat="1" ht="18.75" customHeight="1" x14ac:dyDescent="0.2">
      <c r="A105" s="1116">
        <v>28</v>
      </c>
      <c r="B105" s="1073" t="s">
        <v>252</v>
      </c>
      <c r="C105" s="179" t="s">
        <v>193</v>
      </c>
      <c r="D105" s="318" t="s">
        <v>185</v>
      </c>
      <c r="E105" s="199">
        <v>1</v>
      </c>
      <c r="F105" s="200">
        <v>65000</v>
      </c>
      <c r="G105" s="315">
        <v>1.05</v>
      </c>
      <c r="H105" s="315">
        <v>1.05</v>
      </c>
      <c r="I105" s="339">
        <f t="shared" si="3"/>
        <v>71700</v>
      </c>
      <c r="J105" s="356">
        <f t="shared" si="4"/>
        <v>788700</v>
      </c>
      <c r="K105" s="304"/>
      <c r="L105" s="311"/>
      <c r="M105" s="200"/>
      <c r="N105" s="315"/>
      <c r="O105" s="315"/>
      <c r="P105" s="315"/>
      <c r="Q105" s="350">
        <f t="shared" si="10"/>
        <v>0</v>
      </c>
      <c r="R105" s="356">
        <f t="shared" si="11"/>
        <v>0</v>
      </c>
      <c r="S105" s="317"/>
      <c r="T105" s="318"/>
      <c r="U105" s="318"/>
      <c r="V105" s="318"/>
      <c r="W105" s="318"/>
      <c r="X105" s="318"/>
      <c r="Y105" s="467"/>
      <c r="Z105" s="342">
        <f t="shared" si="5"/>
        <v>788700</v>
      </c>
    </row>
    <row r="106" spans="1:26" s="183" customFormat="1" ht="18.75" customHeight="1" x14ac:dyDescent="0.2">
      <c r="A106" s="1130"/>
      <c r="B106" s="1077"/>
      <c r="C106" s="179" t="s">
        <v>194</v>
      </c>
      <c r="D106" s="318" t="s">
        <v>185</v>
      </c>
      <c r="E106" s="199">
        <v>1</v>
      </c>
      <c r="F106" s="200">
        <v>65000</v>
      </c>
      <c r="G106" s="315">
        <v>1.05</v>
      </c>
      <c r="H106" s="315">
        <v>1.05</v>
      </c>
      <c r="I106" s="339">
        <f t="shared" si="3"/>
        <v>71700</v>
      </c>
      <c r="J106" s="356">
        <f t="shared" si="4"/>
        <v>788700</v>
      </c>
      <c r="K106" s="304"/>
      <c r="L106" s="311"/>
      <c r="M106" s="200"/>
      <c r="N106" s="315"/>
      <c r="O106" s="315"/>
      <c r="P106" s="315"/>
      <c r="Q106" s="350">
        <f t="shared" si="10"/>
        <v>0</v>
      </c>
      <c r="R106" s="356">
        <f t="shared" si="11"/>
        <v>0</v>
      </c>
      <c r="S106" s="317"/>
      <c r="T106" s="318"/>
      <c r="U106" s="318"/>
      <c r="V106" s="318"/>
      <c r="W106" s="318"/>
      <c r="X106" s="318"/>
      <c r="Y106" s="467"/>
      <c r="Z106" s="342">
        <f t="shared" si="5"/>
        <v>788700</v>
      </c>
    </row>
    <row r="107" spans="1:26" s="183" customFormat="1" ht="18.75" customHeight="1" x14ac:dyDescent="0.2">
      <c r="A107" s="1130"/>
      <c r="B107" s="1077"/>
      <c r="C107" s="179" t="s">
        <v>244</v>
      </c>
      <c r="D107" s="318" t="s">
        <v>185</v>
      </c>
      <c r="E107" s="199">
        <v>1</v>
      </c>
      <c r="F107" s="200">
        <v>65000</v>
      </c>
      <c r="G107" s="315">
        <v>1.05</v>
      </c>
      <c r="H107" s="315">
        <v>1.05</v>
      </c>
      <c r="I107" s="339">
        <f t="shared" si="3"/>
        <v>71700</v>
      </c>
      <c r="J107" s="356">
        <f t="shared" si="4"/>
        <v>788700</v>
      </c>
      <c r="K107" s="304"/>
      <c r="L107" s="311"/>
      <c r="M107" s="200"/>
      <c r="N107" s="315"/>
      <c r="O107" s="315"/>
      <c r="P107" s="315"/>
      <c r="Q107" s="350">
        <f t="shared" si="10"/>
        <v>0</v>
      </c>
      <c r="R107" s="356">
        <f t="shared" si="11"/>
        <v>0</v>
      </c>
      <c r="S107" s="317"/>
      <c r="T107" s="318"/>
      <c r="U107" s="318"/>
      <c r="V107" s="318"/>
      <c r="W107" s="318"/>
      <c r="X107" s="318"/>
      <c r="Y107" s="467"/>
      <c r="Z107" s="342">
        <f t="shared" si="5"/>
        <v>788700</v>
      </c>
    </row>
    <row r="108" spans="1:26" s="183" customFormat="1" ht="18.75" customHeight="1" x14ac:dyDescent="0.2">
      <c r="A108" s="1130"/>
      <c r="B108" s="1077"/>
      <c r="C108" s="179" t="s">
        <v>245</v>
      </c>
      <c r="D108" s="318" t="s">
        <v>185</v>
      </c>
      <c r="E108" s="199">
        <v>1</v>
      </c>
      <c r="F108" s="200">
        <v>65000</v>
      </c>
      <c r="G108" s="315">
        <v>1.05</v>
      </c>
      <c r="H108" s="315">
        <v>1.05</v>
      </c>
      <c r="I108" s="339">
        <f t="shared" si="3"/>
        <v>71700</v>
      </c>
      <c r="J108" s="356">
        <f t="shared" si="4"/>
        <v>788700</v>
      </c>
      <c r="K108" s="304"/>
      <c r="L108" s="311"/>
      <c r="M108" s="200"/>
      <c r="N108" s="315"/>
      <c r="O108" s="315"/>
      <c r="P108" s="315"/>
      <c r="Q108" s="350">
        <f t="shared" si="10"/>
        <v>0</v>
      </c>
      <c r="R108" s="356">
        <f t="shared" si="11"/>
        <v>0</v>
      </c>
      <c r="S108" s="317"/>
      <c r="T108" s="318"/>
      <c r="U108" s="318"/>
      <c r="V108" s="318"/>
      <c r="W108" s="318"/>
      <c r="X108" s="318"/>
      <c r="Y108" s="467"/>
      <c r="Z108" s="342">
        <f t="shared" si="5"/>
        <v>788700</v>
      </c>
    </row>
    <row r="109" spans="1:26" s="183" customFormat="1" ht="18.75" customHeight="1" x14ac:dyDescent="0.2">
      <c r="A109" s="1130"/>
      <c r="B109" s="1077"/>
      <c r="C109" s="179" t="s">
        <v>192</v>
      </c>
      <c r="D109" s="318"/>
      <c r="E109" s="199"/>
      <c r="F109" s="200"/>
      <c r="G109" s="315"/>
      <c r="H109" s="315"/>
      <c r="I109" s="339">
        <f t="shared" si="3"/>
        <v>0</v>
      </c>
      <c r="J109" s="356">
        <f t="shared" si="4"/>
        <v>0</v>
      </c>
      <c r="K109" s="304">
        <v>801</v>
      </c>
      <c r="L109" s="311">
        <v>1</v>
      </c>
      <c r="M109" s="200">
        <v>80000</v>
      </c>
      <c r="N109" s="315">
        <v>1.05</v>
      </c>
      <c r="O109" s="315">
        <v>1.05</v>
      </c>
      <c r="P109" s="315">
        <v>1.1000000000000001</v>
      </c>
      <c r="Q109" s="350">
        <f t="shared" si="10"/>
        <v>97000</v>
      </c>
      <c r="R109" s="356">
        <f t="shared" si="11"/>
        <v>1067000</v>
      </c>
      <c r="S109" s="317"/>
      <c r="T109" s="318"/>
      <c r="U109" s="318"/>
      <c r="V109" s="318"/>
      <c r="W109" s="318"/>
      <c r="X109" s="318"/>
      <c r="Y109" s="467"/>
      <c r="Z109" s="342">
        <f t="shared" si="5"/>
        <v>1067000</v>
      </c>
    </row>
    <row r="110" spans="1:26" s="183" customFormat="1" ht="18.75" customHeight="1" x14ac:dyDescent="0.2">
      <c r="A110" s="1117"/>
      <c r="B110" s="1074"/>
      <c r="C110" s="179" t="s">
        <v>242</v>
      </c>
      <c r="D110" s="318"/>
      <c r="E110" s="199"/>
      <c r="F110" s="200"/>
      <c r="G110" s="315"/>
      <c r="H110" s="315"/>
      <c r="I110" s="339">
        <f t="shared" ref="I110:I122" si="12">ROUND(F110*G110*E110*H110,-2)</f>
        <v>0</v>
      </c>
      <c r="J110" s="356">
        <f t="shared" ref="J110:J122" si="13">I110*$J$5</f>
        <v>0</v>
      </c>
      <c r="K110" s="304">
        <v>420</v>
      </c>
      <c r="L110" s="311">
        <v>1</v>
      </c>
      <c r="M110" s="200">
        <v>70000</v>
      </c>
      <c r="N110" s="315">
        <v>1.05</v>
      </c>
      <c r="O110" s="315">
        <v>1.05</v>
      </c>
      <c r="P110" s="315">
        <v>1.1000000000000001</v>
      </c>
      <c r="Q110" s="350">
        <f t="shared" si="10"/>
        <v>84900</v>
      </c>
      <c r="R110" s="356">
        <f t="shared" si="11"/>
        <v>933900</v>
      </c>
      <c r="S110" s="317"/>
      <c r="T110" s="318"/>
      <c r="U110" s="318"/>
      <c r="V110" s="318"/>
      <c r="W110" s="318"/>
      <c r="X110" s="318"/>
      <c r="Y110" s="467"/>
      <c r="Z110" s="342">
        <f t="shared" si="5"/>
        <v>933900</v>
      </c>
    </row>
    <row r="111" spans="1:26" s="183" customFormat="1" ht="18.75" customHeight="1" x14ac:dyDescent="0.2">
      <c r="A111" s="1126">
        <v>29</v>
      </c>
      <c r="B111" s="1042" t="s">
        <v>253</v>
      </c>
      <c r="C111" s="179" t="s">
        <v>189</v>
      </c>
      <c r="D111" s="318" t="s">
        <v>185</v>
      </c>
      <c r="E111" s="199">
        <v>1</v>
      </c>
      <c r="F111" s="200">
        <v>65000</v>
      </c>
      <c r="G111" s="315">
        <v>1.05</v>
      </c>
      <c r="H111" s="315">
        <v>1.05</v>
      </c>
      <c r="I111" s="339">
        <f t="shared" si="12"/>
        <v>71700</v>
      </c>
      <c r="J111" s="356">
        <f t="shared" si="13"/>
        <v>788700</v>
      </c>
      <c r="K111" s="304"/>
      <c r="L111" s="311"/>
      <c r="M111" s="200"/>
      <c r="N111" s="315"/>
      <c r="O111" s="315"/>
      <c r="P111" s="315"/>
      <c r="Q111" s="350">
        <f t="shared" si="10"/>
        <v>0</v>
      </c>
      <c r="R111" s="356">
        <f t="shared" si="11"/>
        <v>0</v>
      </c>
      <c r="S111" s="317"/>
      <c r="T111" s="318"/>
      <c r="U111" s="318"/>
      <c r="V111" s="318"/>
      <c r="W111" s="318"/>
      <c r="X111" s="318"/>
      <c r="Y111" s="467"/>
      <c r="Z111" s="342">
        <f t="shared" si="5"/>
        <v>788700</v>
      </c>
    </row>
    <row r="112" spans="1:26" s="183" customFormat="1" ht="18.75" customHeight="1" x14ac:dyDescent="0.2">
      <c r="A112" s="1127"/>
      <c r="B112" s="1042"/>
      <c r="C112" s="179" t="s">
        <v>190</v>
      </c>
      <c r="D112" s="318" t="s">
        <v>185</v>
      </c>
      <c r="E112" s="199">
        <v>1</v>
      </c>
      <c r="F112" s="200">
        <v>65000</v>
      </c>
      <c r="G112" s="315">
        <v>1.05</v>
      </c>
      <c r="H112" s="315">
        <v>1.05</v>
      </c>
      <c r="I112" s="339">
        <f t="shared" si="12"/>
        <v>71700</v>
      </c>
      <c r="J112" s="356">
        <f t="shared" si="13"/>
        <v>788700</v>
      </c>
      <c r="K112" s="304"/>
      <c r="L112" s="311"/>
      <c r="M112" s="200"/>
      <c r="N112" s="315"/>
      <c r="O112" s="315"/>
      <c r="P112" s="315"/>
      <c r="Q112" s="350">
        <f t="shared" si="10"/>
        <v>0</v>
      </c>
      <c r="R112" s="356">
        <f t="shared" si="11"/>
        <v>0</v>
      </c>
      <c r="S112" s="317"/>
      <c r="T112" s="318"/>
      <c r="U112" s="318"/>
      <c r="V112" s="318"/>
      <c r="W112" s="318"/>
      <c r="X112" s="318"/>
      <c r="Y112" s="467"/>
      <c r="Z112" s="342">
        <f t="shared" si="5"/>
        <v>788700</v>
      </c>
    </row>
    <row r="113" spans="1:30" s="183" customFormat="1" ht="18.75" customHeight="1" x14ac:dyDescent="0.2">
      <c r="A113" s="1127"/>
      <c r="B113" s="1042"/>
      <c r="C113" s="179" t="s">
        <v>247</v>
      </c>
      <c r="D113" s="318" t="s">
        <v>185</v>
      </c>
      <c r="E113" s="199">
        <v>1</v>
      </c>
      <c r="F113" s="200">
        <v>65000</v>
      </c>
      <c r="G113" s="315">
        <v>1.05</v>
      </c>
      <c r="H113" s="315">
        <v>1.05</v>
      </c>
      <c r="I113" s="339">
        <f t="shared" si="12"/>
        <v>71700</v>
      </c>
      <c r="J113" s="356">
        <f t="shared" si="13"/>
        <v>788700</v>
      </c>
      <c r="K113" s="304"/>
      <c r="L113" s="311"/>
      <c r="M113" s="200"/>
      <c r="N113" s="315"/>
      <c r="O113" s="315"/>
      <c r="P113" s="315"/>
      <c r="Q113" s="350">
        <f t="shared" si="10"/>
        <v>0</v>
      </c>
      <c r="R113" s="356">
        <f t="shared" si="11"/>
        <v>0</v>
      </c>
      <c r="S113" s="317"/>
      <c r="T113" s="318"/>
      <c r="U113" s="318"/>
      <c r="V113" s="318"/>
      <c r="W113" s="318"/>
      <c r="X113" s="318"/>
      <c r="Y113" s="467"/>
      <c r="Z113" s="342">
        <f t="shared" ref="Z113:Z122" si="14">J113+R113+Y113</f>
        <v>788700</v>
      </c>
    </row>
    <row r="114" spans="1:30" s="183" customFormat="1" ht="18.75" customHeight="1" x14ac:dyDescent="0.2">
      <c r="A114" s="1127"/>
      <c r="B114" s="1042"/>
      <c r="C114" s="179" t="s">
        <v>246</v>
      </c>
      <c r="D114" s="318" t="s">
        <v>186</v>
      </c>
      <c r="E114" s="199">
        <v>1</v>
      </c>
      <c r="F114" s="200">
        <v>60000</v>
      </c>
      <c r="G114" s="315">
        <v>1.05</v>
      </c>
      <c r="H114" s="315">
        <v>1.05</v>
      </c>
      <c r="I114" s="339">
        <f t="shared" si="12"/>
        <v>66200</v>
      </c>
      <c r="J114" s="356">
        <f t="shared" si="13"/>
        <v>728200</v>
      </c>
      <c r="K114" s="304"/>
      <c r="L114" s="311"/>
      <c r="M114" s="200"/>
      <c r="N114" s="315"/>
      <c r="O114" s="315"/>
      <c r="P114" s="315"/>
      <c r="Q114" s="350">
        <f t="shared" si="10"/>
        <v>0</v>
      </c>
      <c r="R114" s="356">
        <f t="shared" si="11"/>
        <v>0</v>
      </c>
      <c r="S114" s="317"/>
      <c r="T114" s="318"/>
      <c r="U114" s="318"/>
      <c r="V114" s="318"/>
      <c r="W114" s="318"/>
      <c r="X114" s="318"/>
      <c r="Y114" s="467"/>
      <c r="Z114" s="342">
        <f t="shared" si="14"/>
        <v>728200</v>
      </c>
    </row>
    <row r="115" spans="1:30" s="183" customFormat="1" ht="18.75" customHeight="1" x14ac:dyDescent="0.2">
      <c r="A115" s="1127"/>
      <c r="B115" s="1042"/>
      <c r="C115" s="502" t="s">
        <v>265</v>
      </c>
      <c r="D115" s="318" t="s">
        <v>185</v>
      </c>
      <c r="E115" s="199">
        <v>1</v>
      </c>
      <c r="F115" s="200">
        <v>65000</v>
      </c>
      <c r="G115" s="315">
        <v>1.05</v>
      </c>
      <c r="H115" s="315">
        <v>1.05</v>
      </c>
      <c r="I115" s="339">
        <f t="shared" si="12"/>
        <v>71700</v>
      </c>
      <c r="J115" s="356">
        <f>I115*$J$5</f>
        <v>788700</v>
      </c>
      <c r="K115" s="304"/>
      <c r="L115" s="311"/>
      <c r="M115" s="200"/>
      <c r="N115" s="315"/>
      <c r="O115" s="315"/>
      <c r="P115" s="315"/>
      <c r="Q115" s="350">
        <f t="shared" ref="Q115" si="15">ROUND(M115*N115*P115*L115*O115,-2)</f>
        <v>0</v>
      </c>
      <c r="R115" s="356">
        <f t="shared" ref="R115" si="16">Q115*$R$5</f>
        <v>0</v>
      </c>
      <c r="S115" s="317"/>
      <c r="T115" s="318"/>
      <c r="U115" s="318"/>
      <c r="V115" s="318"/>
      <c r="W115" s="318"/>
      <c r="X115" s="318"/>
      <c r="Y115" s="467"/>
      <c r="Z115" s="342">
        <f t="shared" si="14"/>
        <v>788700</v>
      </c>
    </row>
    <row r="116" spans="1:30" s="183" customFormat="1" ht="18.75" customHeight="1" x14ac:dyDescent="0.2">
      <c r="A116" s="1127"/>
      <c r="B116" s="1042"/>
      <c r="C116" s="179" t="s">
        <v>184</v>
      </c>
      <c r="D116" s="318"/>
      <c r="E116" s="199"/>
      <c r="F116" s="200"/>
      <c r="G116" s="315"/>
      <c r="H116" s="315"/>
      <c r="I116" s="339">
        <f t="shared" si="12"/>
        <v>0</v>
      </c>
      <c r="J116" s="356">
        <f t="shared" si="13"/>
        <v>0</v>
      </c>
      <c r="K116" s="304">
        <v>1743</v>
      </c>
      <c r="L116" s="311">
        <v>1</v>
      </c>
      <c r="M116" s="200">
        <v>85000</v>
      </c>
      <c r="N116" s="315">
        <v>1.05</v>
      </c>
      <c r="O116" s="315">
        <v>1.05</v>
      </c>
      <c r="P116" s="315">
        <v>1.1000000000000001</v>
      </c>
      <c r="Q116" s="350">
        <f t="shared" si="10"/>
        <v>103100</v>
      </c>
      <c r="R116" s="356">
        <f t="shared" si="11"/>
        <v>1134100</v>
      </c>
      <c r="S116" s="317"/>
      <c r="T116" s="318"/>
      <c r="U116" s="318"/>
      <c r="V116" s="318"/>
      <c r="W116" s="318"/>
      <c r="X116" s="318"/>
      <c r="Y116" s="467"/>
      <c r="Z116" s="342">
        <f t="shared" si="14"/>
        <v>1134100</v>
      </c>
    </row>
    <row r="117" spans="1:30" s="183" customFormat="1" ht="18.75" customHeight="1" x14ac:dyDescent="0.2">
      <c r="A117" s="1127"/>
      <c r="B117" s="1042"/>
      <c r="C117" s="179" t="s">
        <v>184</v>
      </c>
      <c r="D117" s="318"/>
      <c r="E117" s="199"/>
      <c r="F117" s="200"/>
      <c r="G117" s="315"/>
      <c r="H117" s="315"/>
      <c r="I117" s="339">
        <f t="shared" si="12"/>
        <v>0</v>
      </c>
      <c r="J117" s="356">
        <f t="shared" si="13"/>
        <v>0</v>
      </c>
      <c r="K117" s="304">
        <v>1743</v>
      </c>
      <c r="L117" s="311">
        <v>0.5</v>
      </c>
      <c r="M117" s="200">
        <v>85000</v>
      </c>
      <c r="N117" s="315">
        <v>1.05</v>
      </c>
      <c r="O117" s="315">
        <v>1.05</v>
      </c>
      <c r="P117" s="315">
        <v>1</v>
      </c>
      <c r="Q117" s="350">
        <f t="shared" si="10"/>
        <v>46900</v>
      </c>
      <c r="R117" s="356">
        <f t="shared" si="11"/>
        <v>515900</v>
      </c>
      <c r="S117" s="317"/>
      <c r="T117" s="318"/>
      <c r="U117" s="318"/>
      <c r="V117" s="318"/>
      <c r="W117" s="318"/>
      <c r="X117" s="318"/>
      <c r="Y117" s="467"/>
      <c r="Z117" s="342">
        <f t="shared" si="14"/>
        <v>515900</v>
      </c>
    </row>
    <row r="118" spans="1:30" s="183" customFormat="1" ht="18.75" customHeight="1" x14ac:dyDescent="0.2">
      <c r="A118" s="1065">
        <v>30</v>
      </c>
      <c r="B118" s="1073" t="s">
        <v>176</v>
      </c>
      <c r="C118" s="179" t="s">
        <v>258</v>
      </c>
      <c r="D118" s="318" t="s">
        <v>185</v>
      </c>
      <c r="E118" s="199">
        <v>1</v>
      </c>
      <c r="F118" s="200">
        <v>60000</v>
      </c>
      <c r="G118" s="315">
        <v>1.05</v>
      </c>
      <c r="H118" s="315">
        <v>1.05</v>
      </c>
      <c r="I118" s="339">
        <f t="shared" si="12"/>
        <v>66200</v>
      </c>
      <c r="J118" s="356">
        <f t="shared" si="13"/>
        <v>728200</v>
      </c>
      <c r="K118" s="304"/>
      <c r="L118" s="311"/>
      <c r="M118" s="200"/>
      <c r="N118" s="315"/>
      <c r="O118" s="315"/>
      <c r="P118" s="315"/>
      <c r="Q118" s="350">
        <f t="shared" si="10"/>
        <v>0</v>
      </c>
      <c r="R118" s="356">
        <f t="shared" si="11"/>
        <v>0</v>
      </c>
      <c r="S118" s="317"/>
      <c r="T118" s="318"/>
      <c r="U118" s="318"/>
      <c r="V118" s="318"/>
      <c r="W118" s="318"/>
      <c r="X118" s="318"/>
      <c r="Y118" s="467"/>
      <c r="Z118" s="342">
        <f t="shared" si="14"/>
        <v>728200</v>
      </c>
    </row>
    <row r="119" spans="1:30" s="183" customFormat="1" ht="18.75" customHeight="1" x14ac:dyDescent="0.2">
      <c r="A119" s="1067"/>
      <c r="B119" s="1077"/>
      <c r="C119" s="179" t="s">
        <v>259</v>
      </c>
      <c r="D119" s="318"/>
      <c r="E119" s="199"/>
      <c r="F119" s="200"/>
      <c r="G119" s="315"/>
      <c r="H119" s="315"/>
      <c r="I119" s="339">
        <f t="shared" si="12"/>
        <v>0</v>
      </c>
      <c r="J119" s="356">
        <f t="shared" si="13"/>
        <v>0</v>
      </c>
      <c r="K119" s="304">
        <v>1637</v>
      </c>
      <c r="L119" s="311">
        <v>1</v>
      </c>
      <c r="M119" s="200">
        <v>85000</v>
      </c>
      <c r="N119" s="315">
        <v>1.05</v>
      </c>
      <c r="O119" s="315">
        <v>1.05</v>
      </c>
      <c r="P119" s="315">
        <v>1.1000000000000001</v>
      </c>
      <c r="Q119" s="350">
        <f t="shared" si="10"/>
        <v>103100</v>
      </c>
      <c r="R119" s="356">
        <f t="shared" si="11"/>
        <v>1134100</v>
      </c>
      <c r="S119" s="317"/>
      <c r="T119" s="318"/>
      <c r="U119" s="318"/>
      <c r="V119" s="318"/>
      <c r="W119" s="318"/>
      <c r="X119" s="318"/>
      <c r="Y119" s="467"/>
      <c r="Z119" s="342">
        <f t="shared" si="14"/>
        <v>1134100</v>
      </c>
      <c r="AC119" s="214"/>
      <c r="AD119" s="214"/>
    </row>
    <row r="120" spans="1:30" s="183" customFormat="1" ht="18.75" customHeight="1" x14ac:dyDescent="0.2">
      <c r="A120" s="1066"/>
      <c r="B120" s="1074"/>
      <c r="C120" s="179" t="s">
        <v>255</v>
      </c>
      <c r="D120" s="318"/>
      <c r="E120" s="199"/>
      <c r="F120" s="200"/>
      <c r="G120" s="315"/>
      <c r="H120" s="315"/>
      <c r="I120" s="339">
        <f t="shared" si="12"/>
        <v>0</v>
      </c>
      <c r="J120" s="356">
        <f t="shared" si="13"/>
        <v>0</v>
      </c>
      <c r="K120" s="304">
        <v>1637</v>
      </c>
      <c r="L120" s="311">
        <v>1</v>
      </c>
      <c r="M120" s="200">
        <v>85000</v>
      </c>
      <c r="N120" s="315">
        <v>1.05</v>
      </c>
      <c r="O120" s="315">
        <v>1.05</v>
      </c>
      <c r="P120" s="315">
        <v>1</v>
      </c>
      <c r="Q120" s="350">
        <f t="shared" si="10"/>
        <v>93700</v>
      </c>
      <c r="R120" s="356">
        <f t="shared" si="11"/>
        <v>1030700</v>
      </c>
      <c r="S120" s="317"/>
      <c r="T120" s="318"/>
      <c r="U120" s="318"/>
      <c r="V120" s="318"/>
      <c r="W120" s="318"/>
      <c r="X120" s="318"/>
      <c r="Y120" s="467"/>
      <c r="Z120" s="342">
        <f t="shared" si="14"/>
        <v>1030700</v>
      </c>
      <c r="AC120" s="214"/>
      <c r="AD120" s="214"/>
    </row>
    <row r="121" spans="1:30" s="183" customFormat="1" ht="18.75" customHeight="1" x14ac:dyDescent="0.2">
      <c r="A121" s="1116">
        <v>31</v>
      </c>
      <c r="B121" s="1195" t="s">
        <v>240</v>
      </c>
      <c r="C121" s="344" t="s">
        <v>241</v>
      </c>
      <c r="D121" s="318"/>
      <c r="E121" s="199"/>
      <c r="F121" s="200"/>
      <c r="G121" s="315"/>
      <c r="H121" s="315"/>
      <c r="I121" s="339">
        <f t="shared" si="12"/>
        <v>0</v>
      </c>
      <c r="J121" s="356">
        <f t="shared" si="13"/>
        <v>0</v>
      </c>
      <c r="K121" s="304">
        <v>500</v>
      </c>
      <c r="L121" s="311">
        <v>0.5</v>
      </c>
      <c r="M121" s="200">
        <v>75000</v>
      </c>
      <c r="N121" s="315">
        <v>1.05</v>
      </c>
      <c r="O121" s="315">
        <v>1.05</v>
      </c>
      <c r="P121" s="315">
        <v>1</v>
      </c>
      <c r="Q121" s="350">
        <f>ROUND(M121*N121*P121*L121*O121,-2)</f>
        <v>41300</v>
      </c>
      <c r="R121" s="356">
        <f>Q121*$R$5</f>
        <v>454300</v>
      </c>
      <c r="S121" s="317"/>
      <c r="T121" s="318"/>
      <c r="U121" s="318"/>
      <c r="V121" s="318"/>
      <c r="W121" s="318"/>
      <c r="X121" s="318"/>
      <c r="Y121" s="467"/>
      <c r="Z121" s="342">
        <f t="shared" si="14"/>
        <v>454300</v>
      </c>
      <c r="AC121" s="214"/>
      <c r="AD121" s="214"/>
    </row>
    <row r="122" spans="1:30" s="183" customFormat="1" ht="18.75" customHeight="1" x14ac:dyDescent="0.2">
      <c r="A122" s="1117"/>
      <c r="B122" s="1196"/>
      <c r="C122" s="344" t="s">
        <v>241</v>
      </c>
      <c r="D122" s="318"/>
      <c r="E122" s="199"/>
      <c r="F122" s="200"/>
      <c r="G122" s="315"/>
      <c r="H122" s="315"/>
      <c r="I122" s="339">
        <f t="shared" si="12"/>
        <v>0</v>
      </c>
      <c r="J122" s="356">
        <f t="shared" si="13"/>
        <v>0</v>
      </c>
      <c r="K122" s="304">
        <v>500</v>
      </c>
      <c r="L122" s="199">
        <v>1</v>
      </c>
      <c r="M122" s="200">
        <v>75000</v>
      </c>
      <c r="N122" s="315">
        <v>1.05</v>
      </c>
      <c r="O122" s="315">
        <v>1.05</v>
      </c>
      <c r="P122" s="315">
        <v>1.1000000000000001</v>
      </c>
      <c r="Q122" s="350">
        <f t="shared" si="10"/>
        <v>91000</v>
      </c>
      <c r="R122" s="356">
        <f t="shared" si="11"/>
        <v>1001000</v>
      </c>
      <c r="S122" s="317"/>
      <c r="T122" s="318"/>
      <c r="U122" s="318"/>
      <c r="V122" s="318"/>
      <c r="W122" s="318"/>
      <c r="X122" s="318"/>
      <c r="Y122" s="467"/>
      <c r="Z122" s="342">
        <f t="shared" si="14"/>
        <v>1001000</v>
      </c>
      <c r="AC122" s="214"/>
      <c r="AD122" s="214"/>
    </row>
    <row r="123" spans="1:30" s="201" customFormat="1" ht="18.75" customHeight="1" x14ac:dyDescent="0.2">
      <c r="A123" s="405"/>
      <c r="B123" s="406" t="s">
        <v>1</v>
      </c>
      <c r="C123" s="407"/>
      <c r="D123" s="410"/>
      <c r="E123" s="409">
        <f>SUM(E46:E122)</f>
        <v>29</v>
      </c>
      <c r="F123" s="408"/>
      <c r="G123" s="410"/>
      <c r="H123" s="410"/>
      <c r="I123" s="399"/>
      <c r="J123" s="411">
        <f>SUM(J46:J122)</f>
        <v>22327800</v>
      </c>
      <c r="K123" s="445"/>
      <c r="L123" s="409">
        <f>SUM(L46:L122)</f>
        <v>45.5</v>
      </c>
      <c r="M123" s="408"/>
      <c r="N123" s="410"/>
      <c r="O123" s="410"/>
      <c r="P123" s="410"/>
      <c r="Q123" s="413"/>
      <c r="R123" s="411">
        <f>SUM(R46:R122)</f>
        <v>43159600</v>
      </c>
      <c r="S123" s="412"/>
      <c r="T123" s="408"/>
      <c r="U123" s="408"/>
      <c r="V123" s="410"/>
      <c r="W123" s="410"/>
      <c r="X123" s="408"/>
      <c r="Y123" s="414"/>
      <c r="Z123" s="404">
        <f>SUM(Z46:Z122)</f>
        <v>65487400</v>
      </c>
      <c r="AA123" s="175"/>
      <c r="AB123" s="237"/>
      <c r="AC123" s="214"/>
      <c r="AD123" s="214"/>
    </row>
    <row r="124" spans="1:30" s="196" customFormat="1" ht="18.75" customHeight="1" x14ac:dyDescent="0.2">
      <c r="A124" s="1197" t="s">
        <v>18</v>
      </c>
      <c r="B124" s="1198"/>
      <c r="C124" s="1198"/>
      <c r="D124" s="1198"/>
      <c r="E124" s="1198"/>
      <c r="F124" s="210"/>
      <c r="G124" s="379"/>
      <c r="H124" s="379"/>
      <c r="I124" s="185"/>
      <c r="J124" s="346"/>
      <c r="K124" s="444"/>
      <c r="L124" s="179"/>
      <c r="M124" s="179"/>
      <c r="N124" s="194"/>
      <c r="O124" s="194"/>
      <c r="P124" s="194"/>
      <c r="Q124" s="180"/>
      <c r="R124" s="346"/>
      <c r="S124" s="193"/>
      <c r="T124" s="194"/>
      <c r="U124" s="194"/>
      <c r="V124" s="194"/>
      <c r="W124" s="194"/>
      <c r="X124" s="194"/>
      <c r="Y124" s="465"/>
      <c r="Z124" s="342"/>
    </row>
    <row r="125" spans="1:30" s="201" customFormat="1" ht="18.75" customHeight="1" x14ac:dyDescent="0.2">
      <c r="A125" s="1122">
        <v>1</v>
      </c>
      <c r="B125" s="1071" t="s">
        <v>7</v>
      </c>
      <c r="C125" s="179" t="s">
        <v>5</v>
      </c>
      <c r="D125" s="387"/>
      <c r="E125" s="200"/>
      <c r="F125" s="200"/>
      <c r="G125" s="315"/>
      <c r="H125" s="315"/>
      <c r="I125" s="185"/>
      <c r="J125" s="346">
        <f t="shared" ref="J125:J128" si="17">I125*$J$5</f>
        <v>0</v>
      </c>
      <c r="K125" s="446"/>
      <c r="L125" s="200"/>
      <c r="M125" s="200"/>
      <c r="N125" s="387"/>
      <c r="O125" s="387"/>
      <c r="P125" s="387"/>
      <c r="Q125" s="200"/>
      <c r="R125" s="356">
        <f t="shared" ref="R125:R128" si="18">Q125*$J$5</f>
        <v>0</v>
      </c>
      <c r="S125" s="333" t="s">
        <v>198</v>
      </c>
      <c r="T125" s="311">
        <v>1</v>
      </c>
      <c r="U125" s="200">
        <v>75000</v>
      </c>
      <c r="V125" s="388">
        <v>1.05</v>
      </c>
      <c r="W125" s="388">
        <v>1.05</v>
      </c>
      <c r="X125" s="350">
        <f>ROUND(U125*V125*T125*W125,-2)</f>
        <v>82700</v>
      </c>
      <c r="Y125" s="356">
        <f>X125*$Y$5</f>
        <v>909700</v>
      </c>
      <c r="Z125" s="342">
        <f>J125+R125+Y125</f>
        <v>909700</v>
      </c>
    </row>
    <row r="126" spans="1:30" s="201" customFormat="1" ht="18.75" customHeight="1" x14ac:dyDescent="0.2">
      <c r="A126" s="1122"/>
      <c r="B126" s="1071"/>
      <c r="C126" s="179" t="s">
        <v>4</v>
      </c>
      <c r="D126" s="387"/>
      <c r="E126" s="200"/>
      <c r="F126" s="200"/>
      <c r="G126" s="315"/>
      <c r="H126" s="315"/>
      <c r="I126" s="185"/>
      <c r="J126" s="346">
        <f t="shared" si="17"/>
        <v>0</v>
      </c>
      <c r="K126" s="446"/>
      <c r="L126" s="200"/>
      <c r="M126" s="200"/>
      <c r="N126" s="387"/>
      <c r="O126" s="387"/>
      <c r="P126" s="387"/>
      <c r="Q126" s="200"/>
      <c r="R126" s="356">
        <f t="shared" si="18"/>
        <v>0</v>
      </c>
      <c r="S126" s="333" t="s">
        <v>198</v>
      </c>
      <c r="T126" s="311">
        <v>1</v>
      </c>
      <c r="U126" s="322">
        <v>75000</v>
      </c>
      <c r="V126" s="388">
        <v>1.05</v>
      </c>
      <c r="W126" s="388">
        <v>1.05</v>
      </c>
      <c r="X126" s="350">
        <f t="shared" ref="X126:X128" si="19">ROUND(U126*V126*T126*W126,-2)</f>
        <v>82700</v>
      </c>
      <c r="Y126" s="356">
        <f t="shared" ref="Y126:Y128" si="20">X126*$Y$5</f>
        <v>909700</v>
      </c>
      <c r="Z126" s="342">
        <f t="shared" ref="Z126:Z128" si="21">J126+R126+Y126</f>
        <v>909700</v>
      </c>
    </row>
    <row r="127" spans="1:30" s="201" customFormat="1" ht="18.75" customHeight="1" x14ac:dyDescent="0.2">
      <c r="A127" s="1122"/>
      <c r="B127" s="1071"/>
      <c r="C127" s="179" t="s">
        <v>3</v>
      </c>
      <c r="D127" s="387"/>
      <c r="E127" s="200"/>
      <c r="F127" s="200"/>
      <c r="G127" s="315"/>
      <c r="H127" s="315"/>
      <c r="I127" s="185"/>
      <c r="J127" s="346">
        <f t="shared" si="17"/>
        <v>0</v>
      </c>
      <c r="K127" s="446"/>
      <c r="L127" s="200"/>
      <c r="M127" s="200"/>
      <c r="N127" s="387"/>
      <c r="O127" s="387"/>
      <c r="P127" s="387"/>
      <c r="Q127" s="200"/>
      <c r="R127" s="356">
        <f t="shared" si="18"/>
        <v>0</v>
      </c>
      <c r="S127" s="333">
        <v>0</v>
      </c>
      <c r="T127" s="311">
        <v>1</v>
      </c>
      <c r="U127" s="200">
        <v>60000</v>
      </c>
      <c r="V127" s="388">
        <v>1.05</v>
      </c>
      <c r="W127" s="388">
        <v>1.05</v>
      </c>
      <c r="X127" s="350">
        <f t="shared" si="19"/>
        <v>66200</v>
      </c>
      <c r="Y127" s="356">
        <f t="shared" si="20"/>
        <v>728200</v>
      </c>
      <c r="Z127" s="342">
        <f t="shared" si="21"/>
        <v>728200</v>
      </c>
    </row>
    <row r="128" spans="1:30" s="201" customFormat="1" ht="18.75" customHeight="1" x14ac:dyDescent="0.2">
      <c r="A128" s="1122"/>
      <c r="B128" s="1071"/>
      <c r="C128" s="179" t="s">
        <v>2</v>
      </c>
      <c r="D128" s="387"/>
      <c r="E128" s="200"/>
      <c r="F128" s="200"/>
      <c r="G128" s="315"/>
      <c r="H128" s="315"/>
      <c r="I128" s="185"/>
      <c r="J128" s="346">
        <f t="shared" si="17"/>
        <v>0</v>
      </c>
      <c r="K128" s="446"/>
      <c r="L128" s="200"/>
      <c r="M128" s="200"/>
      <c r="N128" s="387"/>
      <c r="O128" s="387"/>
      <c r="P128" s="387"/>
      <c r="Q128" s="200"/>
      <c r="R128" s="356">
        <f t="shared" si="18"/>
        <v>0</v>
      </c>
      <c r="S128" s="333" t="s">
        <v>198</v>
      </c>
      <c r="T128" s="311">
        <v>1</v>
      </c>
      <c r="U128" s="200">
        <v>75000</v>
      </c>
      <c r="V128" s="388">
        <v>1.05</v>
      </c>
      <c r="W128" s="388">
        <v>1.05</v>
      </c>
      <c r="X128" s="350">
        <f t="shared" si="19"/>
        <v>82700</v>
      </c>
      <c r="Y128" s="356">
        <f t="shared" si="20"/>
        <v>909700</v>
      </c>
      <c r="Z128" s="342">
        <f t="shared" si="21"/>
        <v>909700</v>
      </c>
    </row>
    <row r="129" spans="1:28" s="201" customFormat="1" ht="18.75" customHeight="1" x14ac:dyDescent="0.2">
      <c r="A129" s="396"/>
      <c r="B129" s="406" t="s">
        <v>1</v>
      </c>
      <c r="C129" s="397"/>
      <c r="D129" s="410"/>
      <c r="E129" s="408">
        <f>SUM(E125:E128)</f>
        <v>0</v>
      </c>
      <c r="F129" s="408"/>
      <c r="G129" s="410"/>
      <c r="H129" s="410"/>
      <c r="I129" s="399"/>
      <c r="J129" s="415">
        <f>SUM(J125:J128)</f>
        <v>0</v>
      </c>
      <c r="K129" s="445"/>
      <c r="L129" s="408">
        <f>SUM(L125:L128)</f>
        <v>0</v>
      </c>
      <c r="M129" s="408"/>
      <c r="N129" s="410"/>
      <c r="O129" s="410"/>
      <c r="P129" s="400"/>
      <c r="Q129" s="408"/>
      <c r="R129" s="401">
        <f>SUM(R125:R128)</f>
        <v>0</v>
      </c>
      <c r="S129" s="412"/>
      <c r="T129" s="408">
        <f>SUM(T125:T128)</f>
        <v>4</v>
      </c>
      <c r="U129" s="408"/>
      <c r="V129" s="410"/>
      <c r="W129" s="410"/>
      <c r="X129" s="408"/>
      <c r="Y129" s="411">
        <f>SUM(Y125:Y128)</f>
        <v>3457300</v>
      </c>
      <c r="Z129" s="404">
        <f>SUM(Z125:Z128)</f>
        <v>3457300</v>
      </c>
      <c r="AA129" s="175"/>
      <c r="AB129" s="237"/>
    </row>
    <row r="130" spans="1:28" s="201" customFormat="1" ht="18.75" customHeight="1" thickBot="1" x14ac:dyDescent="0.25">
      <c r="A130" s="416"/>
      <c r="B130" s="417" t="s">
        <v>0</v>
      </c>
      <c r="C130" s="417"/>
      <c r="D130" s="419"/>
      <c r="E130" s="418">
        <f>E44+E123+E129</f>
        <v>66</v>
      </c>
      <c r="F130" s="418"/>
      <c r="G130" s="419"/>
      <c r="H130" s="419"/>
      <c r="I130" s="420"/>
      <c r="J130" s="421">
        <f>J44+J123+J129</f>
        <v>51267700</v>
      </c>
      <c r="K130" s="447"/>
      <c r="L130" s="418">
        <f>L44+L123+L129</f>
        <v>45.5</v>
      </c>
      <c r="M130" s="418"/>
      <c r="N130" s="419"/>
      <c r="O130" s="419"/>
      <c r="P130" s="423"/>
      <c r="Q130" s="424"/>
      <c r="R130" s="421">
        <f>R44+R123+R129</f>
        <v>43159600</v>
      </c>
      <c r="S130" s="422"/>
      <c r="T130" s="418">
        <f>T44+T123+T129</f>
        <v>4</v>
      </c>
      <c r="U130" s="418"/>
      <c r="V130" s="419"/>
      <c r="W130" s="419"/>
      <c r="X130" s="418"/>
      <c r="Y130" s="421">
        <f>Y44+Y123+Y129</f>
        <v>3457300</v>
      </c>
      <c r="Z130" s="425">
        <f>Z44+Z123+Z129</f>
        <v>97884600</v>
      </c>
      <c r="AA130" s="504">
        <f>'12 мес 2018'!Z130/12*11</f>
        <v>97884600</v>
      </c>
      <c r="AB130" s="237"/>
    </row>
    <row r="131" spans="1:28" s="201" customFormat="1" hidden="1" x14ac:dyDescent="0.2">
      <c r="A131" s="231"/>
      <c r="B131" s="231"/>
      <c r="C131" s="231"/>
      <c r="E131" s="232"/>
      <c r="F131" s="232"/>
      <c r="I131" s="233"/>
      <c r="J131" s="334"/>
      <c r="L131" s="232"/>
      <c r="M131" s="232"/>
      <c r="Q131" s="232"/>
      <c r="R131" s="334"/>
      <c r="S131" s="232"/>
      <c r="T131" s="232"/>
      <c r="U131" s="232"/>
      <c r="X131" s="232"/>
      <c r="Y131" s="334"/>
      <c r="Z131" s="234"/>
      <c r="AA131" s="175"/>
      <c r="AB131" s="237"/>
    </row>
    <row r="132" spans="1:28" s="201" customFormat="1" hidden="1" x14ac:dyDescent="0.2">
      <c r="A132" s="231"/>
      <c r="B132" s="231"/>
      <c r="C132" s="231"/>
      <c r="E132" s="232"/>
      <c r="F132" s="232"/>
      <c r="I132" s="348"/>
      <c r="J132" s="232"/>
      <c r="L132" s="232"/>
      <c r="M132" s="232"/>
      <c r="Q132" s="232"/>
      <c r="R132" s="232"/>
      <c r="S132" s="232"/>
      <c r="T132" s="232"/>
      <c r="U132" s="232"/>
      <c r="X132" s="232"/>
      <c r="Y132" s="232"/>
      <c r="Z132" s="234"/>
      <c r="AA132" s="175"/>
      <c r="AB132" s="237"/>
    </row>
    <row r="133" spans="1:28" s="201" customFormat="1" hidden="1" x14ac:dyDescent="0.2">
      <c r="A133" s="231"/>
      <c r="B133" s="231"/>
      <c r="C133" s="231"/>
      <c r="E133" s="232"/>
      <c r="F133" s="232"/>
      <c r="I133" s="233"/>
      <c r="J133" s="232"/>
      <c r="L133" s="232"/>
      <c r="M133" s="232"/>
      <c r="Q133" s="232"/>
      <c r="R133" s="232"/>
      <c r="S133" s="232"/>
      <c r="T133" s="232"/>
      <c r="U133" s="232"/>
      <c r="X133" s="232"/>
      <c r="Y133" s="232"/>
      <c r="Z133" s="234"/>
      <c r="AA133" s="175"/>
      <c r="AB133" s="237"/>
    </row>
    <row r="134" spans="1:28" hidden="1" x14ac:dyDescent="0.25">
      <c r="J134" s="202"/>
      <c r="R134" s="202"/>
      <c r="Y134" s="202"/>
      <c r="Z134" s="202"/>
    </row>
    <row r="135" spans="1:28" hidden="1" x14ac:dyDescent="0.25">
      <c r="Z135" s="188"/>
    </row>
    <row r="136" spans="1:28" ht="16.5" hidden="1" thickBot="1" x14ac:dyDescent="0.3">
      <c r="B136" s="329" t="s">
        <v>209</v>
      </c>
      <c r="J136" s="499">
        <v>11</v>
      </c>
      <c r="K136" s="237"/>
      <c r="L136" s="252"/>
      <c r="M136" s="252"/>
      <c r="N136" s="237"/>
      <c r="O136" s="237"/>
      <c r="P136" s="237"/>
      <c r="R136" s="499">
        <v>11</v>
      </c>
      <c r="S136" s="237"/>
      <c r="T136" s="237"/>
      <c r="U136" s="237"/>
      <c r="V136" s="237"/>
      <c r="W136" s="237"/>
      <c r="X136" s="237"/>
      <c r="Y136" s="499">
        <v>11</v>
      </c>
      <c r="Z136" s="188"/>
    </row>
    <row r="137" spans="1:28" hidden="1" x14ac:dyDescent="0.25">
      <c r="A137" s="1068">
        <v>1</v>
      </c>
      <c r="B137" s="1070" t="s">
        <v>201</v>
      </c>
      <c r="C137" s="357" t="s">
        <v>202</v>
      </c>
      <c r="D137" s="454"/>
      <c r="E137" s="358"/>
      <c r="F137" s="359"/>
      <c r="G137" s="380"/>
      <c r="H137" s="380"/>
      <c r="I137" s="360">
        <f>ROUND(E137*F137*G137*H137,-2)</f>
        <v>0</v>
      </c>
      <c r="J137" s="361">
        <f>I137*$J$136</f>
        <v>0</v>
      </c>
      <c r="K137" s="448">
        <v>628</v>
      </c>
      <c r="L137" s="362">
        <v>1</v>
      </c>
      <c r="M137" s="358">
        <v>80000</v>
      </c>
      <c r="N137" s="364">
        <v>1.05</v>
      </c>
      <c r="O137" s="364">
        <v>1.05</v>
      </c>
      <c r="P137" s="364">
        <v>1.1000000000000001</v>
      </c>
      <c r="Q137" s="359">
        <f>ROUND(L137*M137*N137*P137*O137,-2)</f>
        <v>97000</v>
      </c>
      <c r="R137" s="361">
        <f>Q137*$R$136</f>
        <v>1067000</v>
      </c>
      <c r="S137" s="363"/>
      <c r="T137" s="364"/>
      <c r="U137" s="364"/>
      <c r="V137" s="364"/>
      <c r="W137" s="364"/>
      <c r="X137" s="364"/>
      <c r="Y137" s="389"/>
      <c r="Z137" s="341">
        <f t="shared" ref="Z137:Z141" si="22">J137+R137+Y137</f>
        <v>1067000</v>
      </c>
    </row>
    <row r="138" spans="1:28" hidden="1" x14ac:dyDescent="0.25">
      <c r="A138" s="1069"/>
      <c r="B138" s="1071"/>
      <c r="C138" s="365" t="s">
        <v>203</v>
      </c>
      <c r="D138" s="455" t="s">
        <v>185</v>
      </c>
      <c r="E138" s="366">
        <v>1</v>
      </c>
      <c r="F138" s="367">
        <v>65000</v>
      </c>
      <c r="G138" s="381">
        <v>1.05</v>
      </c>
      <c r="H138" s="381">
        <v>1.05</v>
      </c>
      <c r="I138" s="369">
        <f>ROUND(E138*F138*G138*H138,-2)</f>
        <v>71700</v>
      </c>
      <c r="J138" s="370">
        <f>I138*$J$136</f>
        <v>788700</v>
      </c>
      <c r="K138" s="449"/>
      <c r="L138" s="371"/>
      <c r="M138" s="366"/>
      <c r="N138" s="373"/>
      <c r="O138" s="373"/>
      <c r="P138" s="373"/>
      <c r="Q138" s="367"/>
      <c r="R138" s="370">
        <f t="shared" ref="R138:R140" si="23">Q138*$R$136</f>
        <v>0</v>
      </c>
      <c r="S138" s="372"/>
      <c r="T138" s="373"/>
      <c r="U138" s="373"/>
      <c r="V138" s="373"/>
      <c r="W138" s="373"/>
      <c r="X138" s="373"/>
      <c r="Y138" s="390"/>
      <c r="Z138" s="343">
        <f t="shared" si="22"/>
        <v>788700</v>
      </c>
    </row>
    <row r="139" spans="1:28" hidden="1" x14ac:dyDescent="0.25">
      <c r="A139" s="1069"/>
      <c r="B139" s="1071"/>
      <c r="C139" s="365" t="s">
        <v>204</v>
      </c>
      <c r="D139" s="455" t="s">
        <v>185</v>
      </c>
      <c r="E139" s="366">
        <v>1</v>
      </c>
      <c r="F139" s="367">
        <v>65000</v>
      </c>
      <c r="G139" s="381">
        <v>1.05</v>
      </c>
      <c r="H139" s="381">
        <v>1.05</v>
      </c>
      <c r="I139" s="369">
        <f t="shared" ref="I139:I140" si="24">ROUND(E139*F139*G139*H139,-2)</f>
        <v>71700</v>
      </c>
      <c r="J139" s="370">
        <f t="shared" ref="J139:J141" si="25">I139*$J$136</f>
        <v>788700</v>
      </c>
      <c r="K139" s="449"/>
      <c r="L139" s="371"/>
      <c r="M139" s="366"/>
      <c r="N139" s="373"/>
      <c r="O139" s="373"/>
      <c r="P139" s="373"/>
      <c r="Q139" s="367"/>
      <c r="R139" s="370">
        <f t="shared" si="23"/>
        <v>0</v>
      </c>
      <c r="S139" s="372"/>
      <c r="T139" s="373"/>
      <c r="U139" s="373"/>
      <c r="V139" s="373"/>
      <c r="W139" s="373"/>
      <c r="X139" s="373"/>
      <c r="Y139" s="390"/>
      <c r="Z139" s="343">
        <f t="shared" si="22"/>
        <v>788700</v>
      </c>
    </row>
    <row r="140" spans="1:28" hidden="1" x14ac:dyDescent="0.25">
      <c r="A140" s="1069"/>
      <c r="B140" s="1071"/>
      <c r="C140" s="365" t="s">
        <v>205</v>
      </c>
      <c r="D140" s="455"/>
      <c r="E140" s="366"/>
      <c r="F140" s="367"/>
      <c r="G140" s="381"/>
      <c r="H140" s="381"/>
      <c r="I140" s="369">
        <f t="shared" si="24"/>
        <v>0</v>
      </c>
      <c r="J140" s="370">
        <f t="shared" si="25"/>
        <v>0</v>
      </c>
      <c r="K140" s="449"/>
      <c r="L140" s="371"/>
      <c r="M140" s="366"/>
      <c r="N140" s="373"/>
      <c r="O140" s="373"/>
      <c r="P140" s="373"/>
      <c r="Q140" s="367"/>
      <c r="R140" s="370">
        <f t="shared" si="23"/>
        <v>0</v>
      </c>
      <c r="S140" s="372">
        <v>730</v>
      </c>
      <c r="T140" s="371">
        <v>1</v>
      </c>
      <c r="U140" s="366">
        <v>60000</v>
      </c>
      <c r="V140" s="373">
        <v>1.05</v>
      </c>
      <c r="W140" s="373">
        <v>1.05</v>
      </c>
      <c r="X140" s="366">
        <f>ROUND(T140*U140*V140*W140,-2)</f>
        <v>66200</v>
      </c>
      <c r="Y140" s="391">
        <f>$Y$136*X140</f>
        <v>728200</v>
      </c>
      <c r="Z140" s="343">
        <f t="shared" si="22"/>
        <v>728200</v>
      </c>
    </row>
    <row r="141" spans="1:28" hidden="1" x14ac:dyDescent="0.25">
      <c r="A141" s="349">
        <v>2</v>
      </c>
      <c r="B141" s="208" t="s">
        <v>207</v>
      </c>
      <c r="C141" s="365" t="s">
        <v>208</v>
      </c>
      <c r="D141" s="456"/>
      <c r="E141" s="368"/>
      <c r="F141" s="374"/>
      <c r="G141" s="381"/>
      <c r="H141" s="381"/>
      <c r="I141" s="375"/>
      <c r="J141" s="370">
        <f t="shared" si="25"/>
        <v>0</v>
      </c>
      <c r="K141" s="449">
        <v>1377</v>
      </c>
      <c r="L141" s="371">
        <v>1</v>
      </c>
      <c r="M141" s="366">
        <v>85000</v>
      </c>
      <c r="N141" s="373">
        <v>1.05</v>
      </c>
      <c r="O141" s="373">
        <v>1.05</v>
      </c>
      <c r="P141" s="373">
        <v>1.1000000000000001</v>
      </c>
      <c r="Q141" s="367">
        <f>ROUND(L141*M141*N141*P141*O141,-2)</f>
        <v>103100</v>
      </c>
      <c r="R141" s="370">
        <f>Q141*$R$136</f>
        <v>1134100</v>
      </c>
      <c r="S141" s="372"/>
      <c r="T141" s="373"/>
      <c r="U141" s="373"/>
      <c r="V141" s="373"/>
      <c r="W141" s="373"/>
      <c r="X141" s="373"/>
      <c r="Y141" s="392"/>
      <c r="Z141" s="343">
        <f t="shared" si="22"/>
        <v>1134100</v>
      </c>
    </row>
    <row r="142" spans="1:28" s="203" customFormat="1" ht="16.5" hidden="1" thickBot="1" x14ac:dyDescent="0.3">
      <c r="A142" s="426"/>
      <c r="B142" s="427" t="s">
        <v>1</v>
      </c>
      <c r="C142" s="428"/>
      <c r="D142" s="457"/>
      <c r="E142" s="429">
        <f>SUM(E137:E141)</f>
        <v>2</v>
      </c>
      <c r="F142" s="430"/>
      <c r="G142" s="431"/>
      <c r="H142" s="431"/>
      <c r="I142" s="432"/>
      <c r="J142" s="433">
        <f>SUM(J137:J141)</f>
        <v>1577400</v>
      </c>
      <c r="K142" s="450"/>
      <c r="L142" s="429">
        <f>SUM(L137:L141)</f>
        <v>2</v>
      </c>
      <c r="M142" s="434"/>
      <c r="N142" s="435"/>
      <c r="O142" s="435"/>
      <c r="P142" s="435"/>
      <c r="Q142" s="436"/>
      <c r="R142" s="433">
        <f>Q142*$R$136</f>
        <v>0</v>
      </c>
      <c r="S142" s="437"/>
      <c r="T142" s="429">
        <f>SUM(T137:T141)</f>
        <v>1</v>
      </c>
      <c r="U142" s="435"/>
      <c r="V142" s="435"/>
      <c r="W142" s="435"/>
      <c r="X142" s="435"/>
      <c r="Y142" s="438">
        <f>SUM(Y137:Y141)</f>
        <v>728200</v>
      </c>
      <c r="Z142" s="438">
        <f>SUM(Z137:Z141)</f>
        <v>4506700</v>
      </c>
      <c r="AA142" s="500">
        <f>'12 мес 2018'!Z142/12*11</f>
        <v>4506700</v>
      </c>
    </row>
    <row r="143" spans="1:28" hidden="1" x14ac:dyDescent="0.25">
      <c r="J143" s="352"/>
      <c r="K143" s="237"/>
      <c r="R143" s="352"/>
      <c r="Y143" s="352"/>
    </row>
    <row r="144" spans="1:28" hidden="1" x14ac:dyDescent="0.25"/>
    <row r="145" spans="3:27" hidden="1" x14ac:dyDescent="0.25">
      <c r="C145" s="329" t="s">
        <v>220</v>
      </c>
      <c r="D145" s="335">
        <v>2015</v>
      </c>
      <c r="E145" s="328"/>
      <c r="F145" s="336">
        <v>2016</v>
      </c>
      <c r="G145" s="335">
        <v>2017</v>
      </c>
      <c r="H145" s="335"/>
      <c r="I145" s="336"/>
      <c r="J145" s="336">
        <v>2018</v>
      </c>
    </row>
    <row r="146" spans="3:27" hidden="1" x14ac:dyDescent="0.25">
      <c r="C146" s="329" t="s">
        <v>221</v>
      </c>
      <c r="D146" s="335"/>
      <c r="E146" s="328"/>
      <c r="F146" s="336"/>
      <c r="G146" s="337"/>
      <c r="H146" s="337"/>
      <c r="I146" s="336"/>
      <c r="J146" s="353" t="s">
        <v>237</v>
      </c>
    </row>
    <row r="147" spans="3:27" hidden="1" x14ac:dyDescent="0.25">
      <c r="C147" s="162" t="s">
        <v>215</v>
      </c>
      <c r="D147" s="382">
        <v>60000</v>
      </c>
      <c r="E147" s="328">
        <v>1.05</v>
      </c>
      <c r="F147" s="327">
        <f>D147*E147</f>
        <v>63000</v>
      </c>
      <c r="G147" s="382">
        <v>63000</v>
      </c>
      <c r="H147" s="382"/>
      <c r="I147" s="328">
        <v>1.05</v>
      </c>
      <c r="J147" s="354">
        <f>ROUND(G147*I147,-2)</f>
        <v>66200</v>
      </c>
    </row>
    <row r="148" spans="3:27" hidden="1" x14ac:dyDescent="0.25">
      <c r="C148" s="162" t="s">
        <v>216</v>
      </c>
      <c r="D148" s="382">
        <v>70000</v>
      </c>
      <c r="E148" s="328">
        <v>1.05</v>
      </c>
      <c r="F148" s="327">
        <f t="shared" ref="F148:F154" si="26">D148*E148</f>
        <v>73500</v>
      </c>
      <c r="G148" s="382">
        <v>73500</v>
      </c>
      <c r="H148" s="382"/>
      <c r="I148" s="328">
        <v>1.05</v>
      </c>
      <c r="J148" s="354">
        <f t="shared" ref="J148:J154" si="27">ROUND(G148*I148,-2)</f>
        <v>77200</v>
      </c>
    </row>
    <row r="149" spans="3:27" hidden="1" x14ac:dyDescent="0.25">
      <c r="C149" s="162" t="s">
        <v>217</v>
      </c>
      <c r="D149" s="382">
        <v>75000</v>
      </c>
      <c r="E149" s="328">
        <v>1.05</v>
      </c>
      <c r="F149" s="327">
        <f t="shared" si="26"/>
        <v>78750</v>
      </c>
      <c r="G149" s="382">
        <v>78750</v>
      </c>
      <c r="H149" s="382"/>
      <c r="I149" s="328">
        <v>1.05</v>
      </c>
      <c r="J149" s="354">
        <f t="shared" si="27"/>
        <v>82700</v>
      </c>
    </row>
    <row r="150" spans="3:27" hidden="1" x14ac:dyDescent="0.25">
      <c r="C150" s="162" t="s">
        <v>218</v>
      </c>
      <c r="D150" s="382">
        <v>80000</v>
      </c>
      <c r="E150" s="328">
        <v>1.05</v>
      </c>
      <c r="F150" s="327">
        <f t="shared" si="26"/>
        <v>84000</v>
      </c>
      <c r="G150" s="382">
        <v>84000</v>
      </c>
      <c r="H150" s="382"/>
      <c r="I150" s="328">
        <v>1.05</v>
      </c>
      <c r="J150" s="354">
        <f t="shared" si="27"/>
        <v>88200</v>
      </c>
    </row>
    <row r="151" spans="3:27" hidden="1" x14ac:dyDescent="0.25">
      <c r="C151" s="162" t="s">
        <v>219</v>
      </c>
      <c r="D151" s="382">
        <v>85000</v>
      </c>
      <c r="E151" s="328">
        <v>1.05</v>
      </c>
      <c r="F151" s="327">
        <f t="shared" si="26"/>
        <v>89250</v>
      </c>
      <c r="G151" s="382">
        <v>89250</v>
      </c>
      <c r="H151" s="382"/>
      <c r="I151" s="328">
        <v>1.05</v>
      </c>
      <c r="J151" s="354">
        <f t="shared" si="27"/>
        <v>93700</v>
      </c>
    </row>
    <row r="152" spans="3:27" hidden="1" x14ac:dyDescent="0.25">
      <c r="C152" s="329" t="s">
        <v>222</v>
      </c>
      <c r="D152" s="337"/>
      <c r="E152" s="328"/>
      <c r="F152" s="336"/>
      <c r="G152" s="382"/>
      <c r="H152" s="382"/>
      <c r="I152" s="328"/>
      <c r="J152" s="354"/>
    </row>
    <row r="153" spans="3:27" hidden="1" x14ac:dyDescent="0.25">
      <c r="C153" s="162" t="s">
        <v>186</v>
      </c>
      <c r="D153" s="382">
        <v>60000</v>
      </c>
      <c r="E153" s="328">
        <v>1.05</v>
      </c>
      <c r="F153" s="327">
        <f t="shared" si="26"/>
        <v>63000</v>
      </c>
      <c r="G153" s="382">
        <v>63000</v>
      </c>
      <c r="H153" s="382"/>
      <c r="I153" s="328">
        <v>1.05</v>
      </c>
      <c r="J153" s="354">
        <f t="shared" si="27"/>
        <v>66200</v>
      </c>
    </row>
    <row r="154" spans="3:27" hidden="1" x14ac:dyDescent="0.25">
      <c r="C154" s="162" t="s">
        <v>185</v>
      </c>
      <c r="D154" s="382">
        <v>65000</v>
      </c>
      <c r="E154" s="328">
        <v>1.05</v>
      </c>
      <c r="F154" s="327">
        <f t="shared" si="26"/>
        <v>68250</v>
      </c>
      <c r="G154" s="382">
        <v>68250</v>
      </c>
      <c r="H154" s="382"/>
      <c r="I154" s="328">
        <v>1.05</v>
      </c>
      <c r="J154" s="354">
        <f t="shared" si="27"/>
        <v>71700</v>
      </c>
    </row>
    <row r="155" spans="3:27" x14ac:dyDescent="0.25">
      <c r="AA155" s="503" t="s">
        <v>264</v>
      </c>
    </row>
  </sheetData>
  <autoFilter ref="A4:AD131" xr:uid="{00000000-0009-0000-0000-000004000000}"/>
  <mergeCells count="94">
    <mergeCell ref="A102:A103"/>
    <mergeCell ref="B102:B103"/>
    <mergeCell ref="A137:A140"/>
    <mergeCell ref="B137:B140"/>
    <mergeCell ref="A105:A110"/>
    <mergeCell ref="B105:B110"/>
    <mergeCell ref="A111:A117"/>
    <mergeCell ref="B111:B117"/>
    <mergeCell ref="A118:A120"/>
    <mergeCell ref="B118:B120"/>
    <mergeCell ref="A121:A122"/>
    <mergeCell ref="B121:B122"/>
    <mergeCell ref="A124:E124"/>
    <mergeCell ref="A125:A128"/>
    <mergeCell ref="B125:B128"/>
    <mergeCell ref="A90:A93"/>
    <mergeCell ref="B90:B93"/>
    <mergeCell ref="A96:A98"/>
    <mergeCell ref="B96:B98"/>
    <mergeCell ref="A99:A101"/>
    <mergeCell ref="B99:B101"/>
    <mergeCell ref="A81:A83"/>
    <mergeCell ref="B81:B83"/>
    <mergeCell ref="A85:A86"/>
    <mergeCell ref="B85:B86"/>
    <mergeCell ref="A87:A89"/>
    <mergeCell ref="B87:B89"/>
    <mergeCell ref="A68:A72"/>
    <mergeCell ref="B68:B72"/>
    <mergeCell ref="A73:A76"/>
    <mergeCell ref="B73:B76"/>
    <mergeCell ref="A77:A80"/>
    <mergeCell ref="B77:B80"/>
    <mergeCell ref="A62:A63"/>
    <mergeCell ref="B62:B63"/>
    <mergeCell ref="A64:A65"/>
    <mergeCell ref="B64:B65"/>
    <mergeCell ref="A66:A67"/>
    <mergeCell ref="B66:B67"/>
    <mergeCell ref="A51:A54"/>
    <mergeCell ref="B51:B54"/>
    <mergeCell ref="A55:A57"/>
    <mergeCell ref="B55:B57"/>
    <mergeCell ref="A58:A59"/>
    <mergeCell ref="B58:B59"/>
    <mergeCell ref="A29:A30"/>
    <mergeCell ref="B29:B30"/>
    <mergeCell ref="A32:A33"/>
    <mergeCell ref="B32:B33"/>
    <mergeCell ref="A42:A43"/>
    <mergeCell ref="B42:B43"/>
    <mergeCell ref="A18:A20"/>
    <mergeCell ref="B18:B20"/>
    <mergeCell ref="A22:A23"/>
    <mergeCell ref="B22:B23"/>
    <mergeCell ref="A24:A28"/>
    <mergeCell ref="B24:B28"/>
    <mergeCell ref="A13:A14"/>
    <mergeCell ref="B13:B14"/>
    <mergeCell ref="A15:A17"/>
    <mergeCell ref="B15:B17"/>
    <mergeCell ref="A11:A12"/>
    <mergeCell ref="B11:B12"/>
    <mergeCell ref="A5:E5"/>
    <mergeCell ref="A6:A7"/>
    <mergeCell ref="B6:B7"/>
    <mergeCell ref="A8:A10"/>
    <mergeCell ref="V3:V4"/>
    <mergeCell ref="S3:S4"/>
    <mergeCell ref="T3:T4"/>
    <mergeCell ref="U3:U4"/>
    <mergeCell ref="A2:A4"/>
    <mergeCell ref="B2:B4"/>
    <mergeCell ref="C2:C4"/>
    <mergeCell ref="N3:N4"/>
    <mergeCell ref="O3:O4"/>
    <mergeCell ref="P3:P4"/>
    <mergeCell ref="Q3:R3"/>
    <mergeCell ref="B8:B10"/>
    <mergeCell ref="W3:W4"/>
    <mergeCell ref="X3:Y3"/>
    <mergeCell ref="Z2:Z4"/>
    <mergeCell ref="D3:D4"/>
    <mergeCell ref="E3:E4"/>
    <mergeCell ref="F3:F4"/>
    <mergeCell ref="G3:G4"/>
    <mergeCell ref="H3:H4"/>
    <mergeCell ref="I3:J3"/>
    <mergeCell ref="K3:K4"/>
    <mergeCell ref="L3:L4"/>
    <mergeCell ref="M3:M4"/>
    <mergeCell ref="D2:J2"/>
    <mergeCell ref="K2:R2"/>
    <mergeCell ref="S2:Y2"/>
  </mergeCells>
  <pageMargins left="0.15748031496062992" right="0" top="0.19685039370078741" bottom="0.19685039370078741" header="0.51181102362204722" footer="0.51181102362204722"/>
  <pageSetup paperSize="9" scale="53" fitToWidth="2" fitToHeight="2" orientation="portrait" r:id="rId1"/>
  <headerFooter alignWithMargins="0"/>
  <rowBreaks count="2" manualBreakCount="2">
    <brk id="44" max="27" man="1"/>
    <brk id="123" max="27" man="1"/>
  </rowBreaks>
  <colBreaks count="1" manualBreakCount="1">
    <brk id="10" max="124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43"/>
  </sheetPr>
  <dimension ref="A1:AD154"/>
  <sheetViews>
    <sheetView view="pageBreakPreview" zoomScale="70" zoomScaleNormal="70" zoomScaleSheetLayoutView="70" workbookViewId="0">
      <pane xSplit="3" ySplit="5" topLeftCell="D114" activePane="bottomRight" state="frozen"/>
      <selection pane="topRight" activeCell="E1" sqref="E1"/>
      <selection pane="bottomLeft" activeCell="A6" sqref="A6"/>
      <selection pane="bottomRight" activeCell="J123" sqref="J123"/>
    </sheetView>
  </sheetViews>
  <sheetFormatPr defaultColWidth="8.85546875" defaultRowHeight="15.75" x14ac:dyDescent="0.25"/>
  <cols>
    <col min="1" max="1" width="5.7109375" style="166" customWidth="1"/>
    <col min="2" max="2" width="42.7109375" style="162" customWidth="1"/>
    <col min="3" max="3" width="23.7109375" style="162" customWidth="1"/>
    <col min="4" max="4" width="7.42578125" style="451" customWidth="1"/>
    <col min="5" max="5" width="5.140625" style="164" customWidth="1"/>
    <col min="6" max="6" width="9" style="165" customWidth="1"/>
    <col min="7" max="8" width="6.28515625" style="376" customWidth="1"/>
    <col min="9" max="9" width="11.5703125" style="165" customWidth="1"/>
    <col min="10" max="10" width="15" style="165" customWidth="1"/>
    <col min="11" max="11" width="6.85546875" style="175" customWidth="1"/>
    <col min="12" max="12" width="5.42578125" style="166" customWidth="1"/>
    <col min="13" max="13" width="9" style="166" customWidth="1"/>
    <col min="14" max="16" width="6.28515625" style="175" customWidth="1"/>
    <col min="17" max="17" width="11.7109375" style="167" customWidth="1"/>
    <col min="18" max="18" width="15" style="168" customWidth="1"/>
    <col min="19" max="19" width="8.28515625" style="175" customWidth="1"/>
    <col min="20" max="20" width="5" style="175" customWidth="1"/>
    <col min="21" max="21" width="9.28515625" style="175" customWidth="1"/>
    <col min="22" max="23" width="6.140625" style="175" customWidth="1"/>
    <col min="24" max="24" width="10.140625" style="175" customWidth="1"/>
    <col min="25" max="25" width="13.7109375" style="175" customWidth="1"/>
    <col min="26" max="26" width="16.7109375" style="203" customWidth="1"/>
    <col min="27" max="27" width="16.28515625" style="175" customWidth="1"/>
    <col min="28" max="28" width="11.85546875" style="175" customWidth="1"/>
    <col min="29" max="30" width="21.85546875" style="175" customWidth="1"/>
    <col min="31" max="16384" width="8.85546875" style="175"/>
  </cols>
  <sheetData>
    <row r="1" spans="1:27" s="169" customFormat="1" ht="21.75" customHeight="1" thickBot="1" x14ac:dyDescent="0.3">
      <c r="A1" s="161" t="s">
        <v>256</v>
      </c>
      <c r="B1" s="161"/>
      <c r="C1" s="162"/>
      <c r="D1" s="451"/>
      <c r="E1" s="164"/>
      <c r="F1" s="165"/>
      <c r="G1" s="376"/>
      <c r="H1" s="376"/>
      <c r="I1" s="165"/>
      <c r="J1" s="165"/>
      <c r="K1" s="175"/>
      <c r="L1" s="166"/>
      <c r="M1" s="166"/>
      <c r="N1" s="175"/>
      <c r="O1" s="175"/>
      <c r="P1" s="175"/>
      <c r="Q1" s="167"/>
      <c r="R1" s="168"/>
      <c r="V1" s="175"/>
      <c r="W1" s="175"/>
      <c r="Z1" s="161"/>
      <c r="AA1" s="439"/>
    </row>
    <row r="2" spans="1:27" s="204" customFormat="1" ht="30.6" customHeight="1" x14ac:dyDescent="0.2">
      <c r="A2" s="1182" t="s">
        <v>168</v>
      </c>
      <c r="B2" s="1185" t="s">
        <v>167</v>
      </c>
      <c r="C2" s="1188" t="s">
        <v>165</v>
      </c>
      <c r="D2" s="1176" t="s">
        <v>164</v>
      </c>
      <c r="E2" s="1177"/>
      <c r="F2" s="1177"/>
      <c r="G2" s="1177"/>
      <c r="H2" s="1177"/>
      <c r="I2" s="1177"/>
      <c r="J2" s="1177"/>
      <c r="K2" s="1176" t="s">
        <v>163</v>
      </c>
      <c r="L2" s="1177"/>
      <c r="M2" s="1177"/>
      <c r="N2" s="1177"/>
      <c r="O2" s="1177"/>
      <c r="P2" s="1177"/>
      <c r="Q2" s="1177"/>
      <c r="R2" s="1178"/>
      <c r="S2" s="1179" t="s">
        <v>162</v>
      </c>
      <c r="T2" s="1180"/>
      <c r="U2" s="1180"/>
      <c r="V2" s="1180"/>
      <c r="W2" s="1180"/>
      <c r="X2" s="1180"/>
      <c r="Y2" s="1181"/>
      <c r="Z2" s="1170" t="s">
        <v>257</v>
      </c>
    </row>
    <row r="3" spans="1:27" s="205" customFormat="1" ht="48" customHeight="1" x14ac:dyDescent="0.2">
      <c r="A3" s="1183"/>
      <c r="B3" s="1186"/>
      <c r="C3" s="1189"/>
      <c r="D3" s="1147" t="s">
        <v>156</v>
      </c>
      <c r="E3" s="1149" t="s">
        <v>206</v>
      </c>
      <c r="F3" s="1173" t="s">
        <v>178</v>
      </c>
      <c r="G3" s="1149" t="s">
        <v>158</v>
      </c>
      <c r="H3" s="1149" t="s">
        <v>236</v>
      </c>
      <c r="I3" s="1168" t="s">
        <v>224</v>
      </c>
      <c r="J3" s="1169"/>
      <c r="K3" s="1152" t="s">
        <v>156</v>
      </c>
      <c r="L3" s="1149" t="s">
        <v>206</v>
      </c>
      <c r="M3" s="1175" t="s">
        <v>178</v>
      </c>
      <c r="N3" s="1167" t="s">
        <v>158</v>
      </c>
      <c r="O3" s="1149" t="s">
        <v>236</v>
      </c>
      <c r="P3" s="1167" t="s">
        <v>157</v>
      </c>
      <c r="Q3" s="1191" t="s">
        <v>224</v>
      </c>
      <c r="R3" s="1192"/>
      <c r="S3" s="1147" t="s">
        <v>156</v>
      </c>
      <c r="T3" s="1149" t="s">
        <v>206</v>
      </c>
      <c r="U3" s="1173" t="s">
        <v>178</v>
      </c>
      <c r="V3" s="1149" t="s">
        <v>158</v>
      </c>
      <c r="W3" s="1149" t="s">
        <v>236</v>
      </c>
      <c r="X3" s="1168" t="s">
        <v>224</v>
      </c>
      <c r="Y3" s="1169"/>
      <c r="Z3" s="1171"/>
    </row>
    <row r="4" spans="1:27" s="205" customFormat="1" ht="70.150000000000006" customHeight="1" thickBot="1" x14ac:dyDescent="0.25">
      <c r="A4" s="1184"/>
      <c r="B4" s="1187"/>
      <c r="C4" s="1190"/>
      <c r="D4" s="1148"/>
      <c r="E4" s="1150"/>
      <c r="F4" s="1174"/>
      <c r="G4" s="1150"/>
      <c r="H4" s="1150"/>
      <c r="I4" s="383" t="s">
        <v>238</v>
      </c>
      <c r="J4" s="384" t="s">
        <v>225</v>
      </c>
      <c r="K4" s="1148"/>
      <c r="L4" s="1150"/>
      <c r="M4" s="1174"/>
      <c r="N4" s="1150"/>
      <c r="O4" s="1150"/>
      <c r="P4" s="1150"/>
      <c r="Q4" s="383" t="s">
        <v>238</v>
      </c>
      <c r="R4" s="385" t="s">
        <v>225</v>
      </c>
      <c r="S4" s="1148"/>
      <c r="T4" s="1150"/>
      <c r="U4" s="1174"/>
      <c r="V4" s="1150"/>
      <c r="W4" s="1150"/>
      <c r="X4" s="383" t="s">
        <v>238</v>
      </c>
      <c r="Y4" s="385" t="s">
        <v>225</v>
      </c>
      <c r="Z4" s="1172"/>
    </row>
    <row r="5" spans="1:27" ht="16.5" thickBot="1" x14ac:dyDescent="0.3">
      <c r="A5" s="1142" t="s">
        <v>146</v>
      </c>
      <c r="B5" s="1143"/>
      <c r="C5" s="1143"/>
      <c r="D5" s="1143"/>
      <c r="E5" s="1143"/>
      <c r="F5" s="212"/>
      <c r="G5" s="377"/>
      <c r="H5" s="377"/>
      <c r="I5" s="170"/>
      <c r="J5" s="332">
        <v>12</v>
      </c>
      <c r="K5" s="440"/>
      <c r="L5" s="173"/>
      <c r="M5" s="173"/>
      <c r="N5" s="386"/>
      <c r="O5" s="386"/>
      <c r="P5" s="386"/>
      <c r="Q5" s="174"/>
      <c r="R5" s="393">
        <v>12</v>
      </c>
      <c r="S5" s="253"/>
      <c r="T5" s="254"/>
      <c r="U5" s="254"/>
      <c r="V5" s="254"/>
      <c r="W5" s="254"/>
      <c r="X5" s="254"/>
      <c r="Y5" s="393">
        <v>12</v>
      </c>
      <c r="Z5" s="347"/>
    </row>
    <row r="6" spans="1:27" s="184" customFormat="1" ht="18.75" customHeight="1" x14ac:dyDescent="0.2">
      <c r="A6" s="1145">
        <v>1</v>
      </c>
      <c r="B6" s="1146" t="s">
        <v>145</v>
      </c>
      <c r="C6" s="176" t="s">
        <v>144</v>
      </c>
      <c r="D6" s="378" t="s">
        <v>185</v>
      </c>
      <c r="E6" s="305">
        <v>1</v>
      </c>
      <c r="F6" s="177">
        <v>65000</v>
      </c>
      <c r="G6" s="378">
        <v>1.05</v>
      </c>
      <c r="H6" s="378">
        <v>1.05</v>
      </c>
      <c r="I6" s="338">
        <f t="shared" ref="I6:I9" si="0">ROUND(F6*G6*E6*H6,-2)</f>
        <v>71700</v>
      </c>
      <c r="J6" s="355">
        <f t="shared" ref="J6:J43" si="1">I6*$J$5</f>
        <v>860400</v>
      </c>
      <c r="K6" s="441"/>
      <c r="L6" s="305"/>
      <c r="M6" s="305"/>
      <c r="N6" s="378"/>
      <c r="O6" s="378"/>
      <c r="P6" s="378"/>
      <c r="Q6" s="307"/>
      <c r="R6" s="394"/>
      <c r="S6" s="309"/>
      <c r="T6" s="305"/>
      <c r="U6" s="305"/>
      <c r="V6" s="378"/>
      <c r="W6" s="378"/>
      <c r="X6" s="305"/>
      <c r="Y6" s="463"/>
      <c r="Z6" s="340">
        <f>J6+R6+Y6</f>
        <v>860400</v>
      </c>
    </row>
    <row r="7" spans="1:27" s="184" customFormat="1" ht="18.75" customHeight="1" x14ac:dyDescent="0.2">
      <c r="A7" s="1135"/>
      <c r="B7" s="1046"/>
      <c r="C7" s="179" t="s">
        <v>143</v>
      </c>
      <c r="D7" s="315" t="s">
        <v>185</v>
      </c>
      <c r="E7" s="311">
        <v>1</v>
      </c>
      <c r="F7" s="185">
        <v>65000</v>
      </c>
      <c r="G7" s="315">
        <v>1.05</v>
      </c>
      <c r="H7" s="315">
        <v>1.05</v>
      </c>
      <c r="I7" s="339">
        <f t="shared" si="0"/>
        <v>71700</v>
      </c>
      <c r="J7" s="356">
        <f t="shared" si="1"/>
        <v>860400</v>
      </c>
      <c r="K7" s="442"/>
      <c r="L7" s="311"/>
      <c r="M7" s="311"/>
      <c r="N7" s="315"/>
      <c r="O7" s="315"/>
      <c r="P7" s="315"/>
      <c r="Q7" s="200"/>
      <c r="R7" s="345"/>
      <c r="S7" s="303"/>
      <c r="T7" s="311"/>
      <c r="U7" s="311"/>
      <c r="V7" s="315"/>
      <c r="W7" s="315"/>
      <c r="X7" s="311"/>
      <c r="Y7" s="464"/>
      <c r="Z7" s="342">
        <f>J7+R7+Y7</f>
        <v>860400</v>
      </c>
    </row>
    <row r="8" spans="1:27" s="184" customFormat="1" ht="18.75" customHeight="1" x14ac:dyDescent="0.2">
      <c r="A8" s="1135">
        <v>2</v>
      </c>
      <c r="B8" s="1046" t="s">
        <v>142</v>
      </c>
      <c r="C8" s="179" t="s">
        <v>141</v>
      </c>
      <c r="D8" s="315" t="s">
        <v>185</v>
      </c>
      <c r="E8" s="311">
        <v>1</v>
      </c>
      <c r="F8" s="185">
        <v>65000</v>
      </c>
      <c r="G8" s="315">
        <v>1.05</v>
      </c>
      <c r="H8" s="315">
        <v>1.05</v>
      </c>
      <c r="I8" s="339">
        <f t="shared" si="0"/>
        <v>71700</v>
      </c>
      <c r="J8" s="356">
        <f t="shared" si="1"/>
        <v>860400</v>
      </c>
      <c r="K8" s="442"/>
      <c r="L8" s="311"/>
      <c r="M8" s="311"/>
      <c r="N8" s="315"/>
      <c r="O8" s="315"/>
      <c r="P8" s="315"/>
      <c r="Q8" s="200"/>
      <c r="R8" s="345"/>
      <c r="S8" s="303"/>
      <c r="T8" s="311"/>
      <c r="U8" s="311"/>
      <c r="V8" s="315"/>
      <c r="W8" s="315"/>
      <c r="X8" s="311"/>
      <c r="Y8" s="464"/>
      <c r="Z8" s="342">
        <f t="shared" ref="Z8:Z43" si="2">J8+R8+Y8</f>
        <v>860400</v>
      </c>
    </row>
    <row r="9" spans="1:27" s="184" customFormat="1" ht="18.75" customHeight="1" x14ac:dyDescent="0.2">
      <c r="A9" s="1135"/>
      <c r="B9" s="1046"/>
      <c r="C9" s="179" t="s">
        <v>140</v>
      </c>
      <c r="D9" s="315" t="s">
        <v>185</v>
      </c>
      <c r="E9" s="311">
        <v>1</v>
      </c>
      <c r="F9" s="185">
        <v>65000</v>
      </c>
      <c r="G9" s="315">
        <v>1.05</v>
      </c>
      <c r="H9" s="315">
        <v>1.05</v>
      </c>
      <c r="I9" s="339">
        <f t="shared" si="0"/>
        <v>71700</v>
      </c>
      <c r="J9" s="356">
        <f t="shared" si="1"/>
        <v>860400</v>
      </c>
      <c r="K9" s="442"/>
      <c r="L9" s="311"/>
      <c r="M9" s="311"/>
      <c r="N9" s="315"/>
      <c r="O9" s="315"/>
      <c r="P9" s="315"/>
      <c r="Q9" s="200"/>
      <c r="R9" s="345"/>
      <c r="S9" s="303"/>
      <c r="T9" s="311"/>
      <c r="U9" s="311"/>
      <c r="V9" s="315"/>
      <c r="W9" s="315"/>
      <c r="X9" s="311"/>
      <c r="Y9" s="464"/>
      <c r="Z9" s="342">
        <f t="shared" si="2"/>
        <v>860400</v>
      </c>
    </row>
    <row r="10" spans="1:27" s="184" customFormat="1" ht="18.75" customHeight="1" x14ac:dyDescent="0.2">
      <c r="A10" s="1135"/>
      <c r="B10" s="1046"/>
      <c r="C10" s="179" t="s">
        <v>138</v>
      </c>
      <c r="D10" s="315" t="s">
        <v>186</v>
      </c>
      <c r="E10" s="311">
        <v>1</v>
      </c>
      <c r="F10" s="185">
        <v>60000</v>
      </c>
      <c r="G10" s="315">
        <v>1.05</v>
      </c>
      <c r="H10" s="315">
        <v>1.05</v>
      </c>
      <c r="I10" s="339">
        <f t="shared" ref="I10:I43" si="3">ROUND(F10*G10*E10*H10,-2)</f>
        <v>66200</v>
      </c>
      <c r="J10" s="356">
        <f t="shared" si="1"/>
        <v>794400</v>
      </c>
      <c r="K10" s="442"/>
      <c r="L10" s="311"/>
      <c r="M10" s="311"/>
      <c r="N10" s="315"/>
      <c r="O10" s="315"/>
      <c r="P10" s="315"/>
      <c r="Q10" s="200"/>
      <c r="R10" s="345"/>
      <c r="S10" s="303"/>
      <c r="T10" s="311"/>
      <c r="U10" s="311"/>
      <c r="V10" s="315"/>
      <c r="W10" s="315"/>
      <c r="X10" s="311"/>
      <c r="Y10" s="464"/>
      <c r="Z10" s="342">
        <f t="shared" si="2"/>
        <v>794400</v>
      </c>
    </row>
    <row r="11" spans="1:27" s="184" customFormat="1" ht="18.75" customHeight="1" x14ac:dyDescent="0.2">
      <c r="A11" s="1135">
        <v>3</v>
      </c>
      <c r="B11" s="1046" t="s">
        <v>137</v>
      </c>
      <c r="C11" s="179" t="s">
        <v>136</v>
      </c>
      <c r="D11" s="315" t="s">
        <v>185</v>
      </c>
      <c r="E11" s="311">
        <v>1</v>
      </c>
      <c r="F11" s="185">
        <v>65000</v>
      </c>
      <c r="G11" s="315">
        <v>1.05</v>
      </c>
      <c r="H11" s="315">
        <v>1.05</v>
      </c>
      <c r="I11" s="339">
        <f t="shared" si="3"/>
        <v>71700</v>
      </c>
      <c r="J11" s="356">
        <f t="shared" si="1"/>
        <v>860400</v>
      </c>
      <c r="K11" s="442"/>
      <c r="L11" s="311"/>
      <c r="M11" s="311"/>
      <c r="N11" s="315"/>
      <c r="O11" s="315"/>
      <c r="P11" s="315"/>
      <c r="Q11" s="200"/>
      <c r="R11" s="345"/>
      <c r="S11" s="303"/>
      <c r="T11" s="311"/>
      <c r="U11" s="311"/>
      <c r="V11" s="315"/>
      <c r="W11" s="315"/>
      <c r="X11" s="311"/>
      <c r="Y11" s="464"/>
      <c r="Z11" s="342">
        <f t="shared" si="2"/>
        <v>860400</v>
      </c>
    </row>
    <row r="12" spans="1:27" s="184" customFormat="1" ht="18.75" customHeight="1" x14ac:dyDescent="0.2">
      <c r="A12" s="1135"/>
      <c r="B12" s="1046"/>
      <c r="C12" s="179" t="s">
        <v>135</v>
      </c>
      <c r="D12" s="315" t="s">
        <v>185</v>
      </c>
      <c r="E12" s="311">
        <v>1</v>
      </c>
      <c r="F12" s="185">
        <v>65000</v>
      </c>
      <c r="G12" s="315">
        <v>1.05</v>
      </c>
      <c r="H12" s="315">
        <v>1.05</v>
      </c>
      <c r="I12" s="339">
        <f t="shared" si="3"/>
        <v>71700</v>
      </c>
      <c r="J12" s="356">
        <f t="shared" si="1"/>
        <v>860400</v>
      </c>
      <c r="K12" s="442"/>
      <c r="L12" s="311"/>
      <c r="M12" s="311"/>
      <c r="N12" s="315"/>
      <c r="O12" s="315"/>
      <c r="P12" s="315"/>
      <c r="Q12" s="200"/>
      <c r="R12" s="345"/>
      <c r="S12" s="303"/>
      <c r="T12" s="311"/>
      <c r="U12" s="311"/>
      <c r="V12" s="315"/>
      <c r="W12" s="315"/>
      <c r="X12" s="311"/>
      <c r="Y12" s="464"/>
      <c r="Z12" s="342">
        <f t="shared" si="2"/>
        <v>860400</v>
      </c>
    </row>
    <row r="13" spans="1:27" s="184" customFormat="1" ht="18.75" customHeight="1" x14ac:dyDescent="0.2">
      <c r="A13" s="1135">
        <v>4</v>
      </c>
      <c r="B13" s="1046" t="s">
        <v>134</v>
      </c>
      <c r="C13" s="179" t="s">
        <v>133</v>
      </c>
      <c r="D13" s="315" t="s">
        <v>185</v>
      </c>
      <c r="E13" s="311">
        <v>1</v>
      </c>
      <c r="F13" s="185">
        <v>65000</v>
      </c>
      <c r="G13" s="315">
        <v>1.05</v>
      </c>
      <c r="H13" s="315">
        <v>1.05</v>
      </c>
      <c r="I13" s="339">
        <f t="shared" si="3"/>
        <v>71700</v>
      </c>
      <c r="J13" s="356">
        <f t="shared" si="1"/>
        <v>860400</v>
      </c>
      <c r="K13" s="442"/>
      <c r="L13" s="311"/>
      <c r="M13" s="311"/>
      <c r="N13" s="315"/>
      <c r="O13" s="315"/>
      <c r="P13" s="315"/>
      <c r="Q13" s="200"/>
      <c r="R13" s="345"/>
      <c r="S13" s="303"/>
      <c r="T13" s="311"/>
      <c r="U13" s="311"/>
      <c r="V13" s="315"/>
      <c r="W13" s="315"/>
      <c r="X13" s="311"/>
      <c r="Y13" s="464"/>
      <c r="Z13" s="342">
        <f t="shared" si="2"/>
        <v>860400</v>
      </c>
    </row>
    <row r="14" spans="1:27" s="184" customFormat="1" ht="18.75" customHeight="1" x14ac:dyDescent="0.2">
      <c r="A14" s="1135"/>
      <c r="B14" s="1046"/>
      <c r="C14" s="179" t="s">
        <v>132</v>
      </c>
      <c r="D14" s="315" t="s">
        <v>185</v>
      </c>
      <c r="E14" s="311">
        <v>1</v>
      </c>
      <c r="F14" s="185">
        <v>65000</v>
      </c>
      <c r="G14" s="315">
        <v>1.05</v>
      </c>
      <c r="H14" s="315">
        <v>1.05</v>
      </c>
      <c r="I14" s="339">
        <f t="shared" si="3"/>
        <v>71700</v>
      </c>
      <c r="J14" s="356">
        <f t="shared" si="1"/>
        <v>860400</v>
      </c>
      <c r="K14" s="442"/>
      <c r="L14" s="311"/>
      <c r="M14" s="311"/>
      <c r="N14" s="315"/>
      <c r="O14" s="315"/>
      <c r="P14" s="315"/>
      <c r="Q14" s="200"/>
      <c r="R14" s="345"/>
      <c r="S14" s="303"/>
      <c r="T14" s="311"/>
      <c r="U14" s="311"/>
      <c r="V14" s="315"/>
      <c r="W14" s="315"/>
      <c r="X14" s="311"/>
      <c r="Y14" s="464"/>
      <c r="Z14" s="342">
        <f t="shared" si="2"/>
        <v>860400</v>
      </c>
    </row>
    <row r="15" spans="1:27" s="184" customFormat="1" ht="18.75" customHeight="1" x14ac:dyDescent="0.2">
      <c r="A15" s="1135">
        <v>5</v>
      </c>
      <c r="B15" s="1046" t="s">
        <v>131</v>
      </c>
      <c r="C15" s="179" t="s">
        <v>130</v>
      </c>
      <c r="D15" s="315" t="s">
        <v>185</v>
      </c>
      <c r="E15" s="311">
        <v>1</v>
      </c>
      <c r="F15" s="185">
        <v>65000</v>
      </c>
      <c r="G15" s="315">
        <v>1.05</v>
      </c>
      <c r="H15" s="315">
        <v>1.05</v>
      </c>
      <c r="I15" s="339">
        <f t="shared" si="3"/>
        <v>71700</v>
      </c>
      <c r="J15" s="356">
        <f t="shared" si="1"/>
        <v>860400</v>
      </c>
      <c r="K15" s="442"/>
      <c r="L15" s="311"/>
      <c r="M15" s="311"/>
      <c r="N15" s="315"/>
      <c r="O15" s="315"/>
      <c r="P15" s="315"/>
      <c r="Q15" s="200"/>
      <c r="R15" s="345"/>
      <c r="S15" s="303"/>
      <c r="T15" s="311"/>
      <c r="U15" s="311"/>
      <c r="V15" s="315"/>
      <c r="W15" s="315"/>
      <c r="X15" s="311"/>
      <c r="Y15" s="464"/>
      <c r="Z15" s="342">
        <f t="shared" si="2"/>
        <v>860400</v>
      </c>
    </row>
    <row r="16" spans="1:27" s="184" customFormat="1" ht="18.75" customHeight="1" x14ac:dyDescent="0.2">
      <c r="A16" s="1135"/>
      <c r="B16" s="1046"/>
      <c r="C16" s="179" t="s">
        <v>129</v>
      </c>
      <c r="D16" s="315" t="s">
        <v>185</v>
      </c>
      <c r="E16" s="311">
        <v>1</v>
      </c>
      <c r="F16" s="185">
        <v>65000</v>
      </c>
      <c r="G16" s="315">
        <v>1.05</v>
      </c>
      <c r="H16" s="315">
        <v>1.05</v>
      </c>
      <c r="I16" s="339">
        <f t="shared" si="3"/>
        <v>71700</v>
      </c>
      <c r="J16" s="356">
        <f t="shared" si="1"/>
        <v>860400</v>
      </c>
      <c r="K16" s="442"/>
      <c r="L16" s="311"/>
      <c r="M16" s="311"/>
      <c r="N16" s="315"/>
      <c r="O16" s="315"/>
      <c r="P16" s="315"/>
      <c r="Q16" s="200"/>
      <c r="R16" s="345"/>
      <c r="S16" s="303"/>
      <c r="T16" s="311"/>
      <c r="U16" s="311"/>
      <c r="V16" s="315"/>
      <c r="W16" s="315"/>
      <c r="X16" s="311"/>
      <c r="Y16" s="464"/>
      <c r="Z16" s="342">
        <f t="shared" si="2"/>
        <v>860400</v>
      </c>
    </row>
    <row r="17" spans="1:26" s="184" customFormat="1" ht="18.75" customHeight="1" x14ac:dyDescent="0.2">
      <c r="A17" s="1135"/>
      <c r="B17" s="1046"/>
      <c r="C17" s="179" t="s">
        <v>128</v>
      </c>
      <c r="D17" s="315" t="s">
        <v>186</v>
      </c>
      <c r="E17" s="311">
        <v>1</v>
      </c>
      <c r="F17" s="185">
        <v>60000</v>
      </c>
      <c r="G17" s="315">
        <v>1.05</v>
      </c>
      <c r="H17" s="315">
        <v>1.05</v>
      </c>
      <c r="I17" s="339">
        <f t="shared" si="3"/>
        <v>66200</v>
      </c>
      <c r="J17" s="356">
        <f t="shared" si="1"/>
        <v>794400</v>
      </c>
      <c r="K17" s="442"/>
      <c r="L17" s="311"/>
      <c r="M17" s="311"/>
      <c r="N17" s="315"/>
      <c r="O17" s="315"/>
      <c r="P17" s="315"/>
      <c r="Q17" s="200"/>
      <c r="R17" s="345"/>
      <c r="S17" s="303"/>
      <c r="T17" s="311"/>
      <c r="U17" s="311"/>
      <c r="V17" s="315"/>
      <c r="W17" s="315"/>
      <c r="X17" s="311"/>
      <c r="Y17" s="464"/>
      <c r="Z17" s="342">
        <f t="shared" si="2"/>
        <v>794400</v>
      </c>
    </row>
    <row r="18" spans="1:26" s="184" customFormat="1" ht="18.600000000000001" customHeight="1" x14ac:dyDescent="0.2">
      <c r="A18" s="1135">
        <v>6</v>
      </c>
      <c r="B18" s="1046" t="s">
        <v>127</v>
      </c>
      <c r="C18" s="179" t="s">
        <v>126</v>
      </c>
      <c r="D18" s="315" t="s">
        <v>185</v>
      </c>
      <c r="E18" s="311">
        <v>1</v>
      </c>
      <c r="F18" s="185">
        <v>65000</v>
      </c>
      <c r="G18" s="315">
        <v>1.05</v>
      </c>
      <c r="H18" s="315">
        <v>1.05</v>
      </c>
      <c r="I18" s="339">
        <f t="shared" si="3"/>
        <v>71700</v>
      </c>
      <c r="J18" s="356">
        <f t="shared" si="1"/>
        <v>860400</v>
      </c>
      <c r="K18" s="442"/>
      <c r="L18" s="311"/>
      <c r="M18" s="311"/>
      <c r="N18" s="315"/>
      <c r="O18" s="315"/>
      <c r="P18" s="315"/>
      <c r="Q18" s="200"/>
      <c r="R18" s="345"/>
      <c r="S18" s="303"/>
      <c r="T18" s="311"/>
      <c r="U18" s="311"/>
      <c r="V18" s="315"/>
      <c r="W18" s="315"/>
      <c r="X18" s="311"/>
      <c r="Y18" s="464"/>
      <c r="Z18" s="342">
        <f t="shared" si="2"/>
        <v>860400</v>
      </c>
    </row>
    <row r="19" spans="1:26" s="184" customFormat="1" ht="18.75" customHeight="1" x14ac:dyDescent="0.2">
      <c r="A19" s="1135"/>
      <c r="B19" s="1046"/>
      <c r="C19" s="179" t="s">
        <v>125</v>
      </c>
      <c r="D19" s="315" t="s">
        <v>186</v>
      </c>
      <c r="E19" s="311">
        <v>0.5</v>
      </c>
      <c r="F19" s="185">
        <v>60000</v>
      </c>
      <c r="G19" s="315">
        <v>1.05</v>
      </c>
      <c r="H19" s="315">
        <v>1.05</v>
      </c>
      <c r="I19" s="339">
        <f t="shared" si="3"/>
        <v>33100</v>
      </c>
      <c r="J19" s="356">
        <f t="shared" si="1"/>
        <v>397200</v>
      </c>
      <c r="K19" s="304"/>
      <c r="L19" s="311"/>
      <c r="M19" s="311"/>
      <c r="N19" s="315"/>
      <c r="O19" s="315"/>
      <c r="P19" s="315"/>
      <c r="Q19" s="200"/>
      <c r="R19" s="345"/>
      <c r="S19" s="303"/>
      <c r="T19" s="311"/>
      <c r="U19" s="311"/>
      <c r="V19" s="315"/>
      <c r="W19" s="315"/>
      <c r="X19" s="311"/>
      <c r="Y19" s="464"/>
      <c r="Z19" s="342">
        <f t="shared" si="2"/>
        <v>397200</v>
      </c>
    </row>
    <row r="20" spans="1:26" s="184" customFormat="1" ht="18.75" customHeight="1" x14ac:dyDescent="0.2">
      <c r="A20" s="1135"/>
      <c r="B20" s="1046"/>
      <c r="C20" s="179" t="s">
        <v>124</v>
      </c>
      <c r="D20" s="315" t="s">
        <v>186</v>
      </c>
      <c r="E20" s="311">
        <v>0.5</v>
      </c>
      <c r="F20" s="185">
        <v>60000</v>
      </c>
      <c r="G20" s="315">
        <v>1.05</v>
      </c>
      <c r="H20" s="315">
        <v>1.05</v>
      </c>
      <c r="I20" s="339">
        <f t="shared" si="3"/>
        <v>33100</v>
      </c>
      <c r="J20" s="356">
        <f t="shared" si="1"/>
        <v>397200</v>
      </c>
      <c r="K20" s="304"/>
      <c r="L20" s="311"/>
      <c r="M20" s="311"/>
      <c r="N20" s="315"/>
      <c r="O20" s="315"/>
      <c r="P20" s="315"/>
      <c r="Q20" s="200"/>
      <c r="R20" s="345"/>
      <c r="S20" s="303"/>
      <c r="T20" s="311"/>
      <c r="U20" s="311"/>
      <c r="V20" s="315"/>
      <c r="W20" s="315"/>
      <c r="X20" s="311"/>
      <c r="Y20" s="464"/>
      <c r="Z20" s="342">
        <f t="shared" si="2"/>
        <v>397200</v>
      </c>
    </row>
    <row r="21" spans="1:26" s="184" customFormat="1" ht="18.75" customHeight="1" x14ac:dyDescent="0.2">
      <c r="A21" s="182">
        <v>7</v>
      </c>
      <c r="B21" s="458" t="s">
        <v>123</v>
      </c>
      <c r="C21" s="179" t="s">
        <v>122</v>
      </c>
      <c r="D21" s="315" t="s">
        <v>185</v>
      </c>
      <c r="E21" s="311">
        <v>1</v>
      </c>
      <c r="F21" s="185">
        <v>65000</v>
      </c>
      <c r="G21" s="315">
        <v>1.05</v>
      </c>
      <c r="H21" s="315">
        <v>1.05</v>
      </c>
      <c r="I21" s="339">
        <f t="shared" si="3"/>
        <v>71700</v>
      </c>
      <c r="J21" s="356">
        <f t="shared" si="1"/>
        <v>860400</v>
      </c>
      <c r="K21" s="442"/>
      <c r="L21" s="311"/>
      <c r="M21" s="311"/>
      <c r="N21" s="315"/>
      <c r="O21" s="315"/>
      <c r="P21" s="315"/>
      <c r="Q21" s="200"/>
      <c r="R21" s="345"/>
      <c r="S21" s="303"/>
      <c r="T21" s="311"/>
      <c r="U21" s="311"/>
      <c r="V21" s="315"/>
      <c r="W21" s="315"/>
      <c r="X21" s="311"/>
      <c r="Y21" s="464"/>
      <c r="Z21" s="342">
        <f t="shared" si="2"/>
        <v>860400</v>
      </c>
    </row>
    <row r="22" spans="1:26" s="184" customFormat="1" ht="18.75" customHeight="1" x14ac:dyDescent="0.2">
      <c r="A22" s="1135">
        <v>8</v>
      </c>
      <c r="B22" s="1046" t="s">
        <v>121</v>
      </c>
      <c r="C22" s="179" t="s">
        <v>120</v>
      </c>
      <c r="D22" s="315" t="s">
        <v>185</v>
      </c>
      <c r="E22" s="311">
        <v>1</v>
      </c>
      <c r="F22" s="185">
        <v>65000</v>
      </c>
      <c r="G22" s="315">
        <v>1.05</v>
      </c>
      <c r="H22" s="315">
        <v>1.05</v>
      </c>
      <c r="I22" s="339">
        <f t="shared" si="3"/>
        <v>71700</v>
      </c>
      <c r="J22" s="356">
        <f t="shared" si="1"/>
        <v>860400</v>
      </c>
      <c r="K22" s="442"/>
      <c r="L22" s="311"/>
      <c r="M22" s="311"/>
      <c r="N22" s="315"/>
      <c r="O22" s="315"/>
      <c r="P22" s="315"/>
      <c r="Q22" s="200"/>
      <c r="R22" s="345"/>
      <c r="S22" s="303"/>
      <c r="T22" s="311"/>
      <c r="U22" s="311"/>
      <c r="V22" s="315"/>
      <c r="W22" s="315"/>
      <c r="X22" s="311"/>
      <c r="Y22" s="464"/>
      <c r="Z22" s="342">
        <f t="shared" si="2"/>
        <v>860400</v>
      </c>
    </row>
    <row r="23" spans="1:26" s="184" customFormat="1" ht="18.75" customHeight="1" x14ac:dyDescent="0.2">
      <c r="A23" s="1135"/>
      <c r="B23" s="1046"/>
      <c r="C23" s="179" t="s">
        <v>119</v>
      </c>
      <c r="D23" s="315" t="s">
        <v>185</v>
      </c>
      <c r="E23" s="311">
        <v>1</v>
      </c>
      <c r="F23" s="185">
        <v>65000</v>
      </c>
      <c r="G23" s="315">
        <v>1.05</v>
      </c>
      <c r="H23" s="315">
        <v>1.05</v>
      </c>
      <c r="I23" s="339">
        <f t="shared" si="3"/>
        <v>71700</v>
      </c>
      <c r="J23" s="356">
        <f t="shared" si="1"/>
        <v>860400</v>
      </c>
      <c r="K23" s="442"/>
      <c r="L23" s="311"/>
      <c r="M23" s="311"/>
      <c r="N23" s="315"/>
      <c r="O23" s="315"/>
      <c r="P23" s="315"/>
      <c r="Q23" s="200"/>
      <c r="R23" s="345"/>
      <c r="S23" s="303"/>
      <c r="T23" s="311"/>
      <c r="U23" s="311"/>
      <c r="V23" s="315"/>
      <c r="W23" s="315"/>
      <c r="X23" s="311"/>
      <c r="Y23" s="464"/>
      <c r="Z23" s="342">
        <f t="shared" si="2"/>
        <v>860400</v>
      </c>
    </row>
    <row r="24" spans="1:26" s="184" customFormat="1" ht="18.75" customHeight="1" x14ac:dyDescent="0.2">
      <c r="A24" s="1136">
        <v>9</v>
      </c>
      <c r="B24" s="1139" t="s">
        <v>118</v>
      </c>
      <c r="C24" s="179" t="s">
        <v>117</v>
      </c>
      <c r="D24" s="315" t="s">
        <v>186</v>
      </c>
      <c r="E24" s="311">
        <v>1</v>
      </c>
      <c r="F24" s="185">
        <v>60000</v>
      </c>
      <c r="G24" s="315">
        <v>1.05</v>
      </c>
      <c r="H24" s="315">
        <v>1.05</v>
      </c>
      <c r="I24" s="339">
        <f t="shared" si="3"/>
        <v>66200</v>
      </c>
      <c r="J24" s="356">
        <f t="shared" si="1"/>
        <v>794400</v>
      </c>
      <c r="K24" s="442"/>
      <c r="L24" s="311"/>
      <c r="M24" s="311"/>
      <c r="N24" s="315"/>
      <c r="O24" s="315"/>
      <c r="P24" s="315"/>
      <c r="Q24" s="200"/>
      <c r="R24" s="345"/>
      <c r="S24" s="303"/>
      <c r="T24" s="311"/>
      <c r="U24" s="311"/>
      <c r="V24" s="315"/>
      <c r="W24" s="315"/>
      <c r="X24" s="311"/>
      <c r="Y24" s="464"/>
      <c r="Z24" s="342">
        <f t="shared" si="2"/>
        <v>794400</v>
      </c>
    </row>
    <row r="25" spans="1:26" s="184" customFormat="1" ht="18.75" customHeight="1" x14ac:dyDescent="0.2">
      <c r="A25" s="1137"/>
      <c r="B25" s="1140"/>
      <c r="C25" s="179" t="s">
        <v>116</v>
      </c>
      <c r="D25" s="315" t="s">
        <v>185</v>
      </c>
      <c r="E25" s="311">
        <v>1</v>
      </c>
      <c r="F25" s="185">
        <v>65000</v>
      </c>
      <c r="G25" s="315">
        <v>1.05</v>
      </c>
      <c r="H25" s="315">
        <v>1.05</v>
      </c>
      <c r="I25" s="339">
        <f t="shared" si="3"/>
        <v>71700</v>
      </c>
      <c r="J25" s="356">
        <f t="shared" si="1"/>
        <v>860400</v>
      </c>
      <c r="K25" s="442"/>
      <c r="L25" s="311"/>
      <c r="M25" s="311"/>
      <c r="N25" s="315"/>
      <c r="O25" s="315"/>
      <c r="P25" s="315"/>
      <c r="Q25" s="200"/>
      <c r="R25" s="345"/>
      <c r="S25" s="303"/>
      <c r="T25" s="311"/>
      <c r="U25" s="311"/>
      <c r="V25" s="315"/>
      <c r="W25" s="315"/>
      <c r="X25" s="311"/>
      <c r="Y25" s="464"/>
      <c r="Z25" s="342">
        <f t="shared" si="2"/>
        <v>860400</v>
      </c>
    </row>
    <row r="26" spans="1:26" s="184" customFormat="1" ht="18.75" customHeight="1" x14ac:dyDescent="0.2">
      <c r="A26" s="1137"/>
      <c r="B26" s="1140"/>
      <c r="C26" s="179" t="s">
        <v>115</v>
      </c>
      <c r="D26" s="315" t="s">
        <v>185</v>
      </c>
      <c r="E26" s="311">
        <v>1</v>
      </c>
      <c r="F26" s="185">
        <v>65000</v>
      </c>
      <c r="G26" s="315">
        <v>1.05</v>
      </c>
      <c r="H26" s="315">
        <v>1.05</v>
      </c>
      <c r="I26" s="339">
        <f t="shared" si="3"/>
        <v>71700</v>
      </c>
      <c r="J26" s="356">
        <f t="shared" si="1"/>
        <v>860400</v>
      </c>
      <c r="K26" s="442"/>
      <c r="L26" s="311"/>
      <c r="M26" s="311"/>
      <c r="N26" s="315"/>
      <c r="O26" s="315"/>
      <c r="P26" s="315"/>
      <c r="Q26" s="200"/>
      <c r="R26" s="345"/>
      <c r="S26" s="303"/>
      <c r="T26" s="311"/>
      <c r="U26" s="311"/>
      <c r="V26" s="315"/>
      <c r="W26" s="315"/>
      <c r="X26" s="311"/>
      <c r="Y26" s="464"/>
      <c r="Z26" s="342">
        <f t="shared" si="2"/>
        <v>860400</v>
      </c>
    </row>
    <row r="27" spans="1:26" s="184" customFormat="1" ht="18.75" customHeight="1" x14ac:dyDescent="0.2">
      <c r="A27" s="1137"/>
      <c r="B27" s="1140"/>
      <c r="C27" s="179" t="s">
        <v>188</v>
      </c>
      <c r="D27" s="315" t="s">
        <v>185</v>
      </c>
      <c r="E27" s="311">
        <v>1</v>
      </c>
      <c r="F27" s="185">
        <v>65000</v>
      </c>
      <c r="G27" s="315">
        <v>1.05</v>
      </c>
      <c r="H27" s="315">
        <v>1.05</v>
      </c>
      <c r="I27" s="339">
        <f t="shared" si="3"/>
        <v>71700</v>
      </c>
      <c r="J27" s="356">
        <f t="shared" si="1"/>
        <v>860400</v>
      </c>
      <c r="K27" s="442"/>
      <c r="L27" s="311"/>
      <c r="M27" s="311"/>
      <c r="N27" s="315"/>
      <c r="O27" s="315"/>
      <c r="P27" s="315"/>
      <c r="Q27" s="200"/>
      <c r="R27" s="345"/>
      <c r="S27" s="303"/>
      <c r="T27" s="311"/>
      <c r="U27" s="311"/>
      <c r="V27" s="315"/>
      <c r="W27" s="315"/>
      <c r="X27" s="311"/>
      <c r="Y27" s="464"/>
      <c r="Z27" s="342">
        <f t="shared" si="2"/>
        <v>860400</v>
      </c>
    </row>
    <row r="28" spans="1:26" s="184" customFormat="1" ht="18.75" customHeight="1" x14ac:dyDescent="0.2">
      <c r="A28" s="1138"/>
      <c r="B28" s="1141"/>
      <c r="C28" s="179" t="s">
        <v>187</v>
      </c>
      <c r="D28" s="315" t="s">
        <v>185</v>
      </c>
      <c r="E28" s="311">
        <v>1</v>
      </c>
      <c r="F28" s="185">
        <v>65000</v>
      </c>
      <c r="G28" s="315">
        <v>1.05</v>
      </c>
      <c r="H28" s="315">
        <v>1.05</v>
      </c>
      <c r="I28" s="339">
        <f t="shared" si="3"/>
        <v>71700</v>
      </c>
      <c r="J28" s="356">
        <f t="shared" si="1"/>
        <v>860400</v>
      </c>
      <c r="K28" s="442"/>
      <c r="L28" s="311"/>
      <c r="M28" s="311"/>
      <c r="N28" s="315"/>
      <c r="O28" s="315"/>
      <c r="P28" s="315"/>
      <c r="Q28" s="200"/>
      <c r="R28" s="345"/>
      <c r="S28" s="303"/>
      <c r="T28" s="311"/>
      <c r="U28" s="311"/>
      <c r="V28" s="315"/>
      <c r="W28" s="315"/>
      <c r="X28" s="311"/>
      <c r="Y28" s="464"/>
      <c r="Z28" s="342">
        <f t="shared" si="2"/>
        <v>860400</v>
      </c>
    </row>
    <row r="29" spans="1:26" s="184" customFormat="1" ht="18.75" customHeight="1" x14ac:dyDescent="0.2">
      <c r="A29" s="1135">
        <v>10</v>
      </c>
      <c r="B29" s="1046" t="s">
        <v>114</v>
      </c>
      <c r="C29" s="179" t="s">
        <v>113</v>
      </c>
      <c r="D29" s="315" t="s">
        <v>185</v>
      </c>
      <c r="E29" s="311">
        <v>1</v>
      </c>
      <c r="F29" s="185">
        <v>65000</v>
      </c>
      <c r="G29" s="315">
        <v>1.05</v>
      </c>
      <c r="H29" s="315">
        <v>1.05</v>
      </c>
      <c r="I29" s="339">
        <f t="shared" si="3"/>
        <v>71700</v>
      </c>
      <c r="J29" s="356">
        <f t="shared" si="1"/>
        <v>860400</v>
      </c>
      <c r="K29" s="442"/>
      <c r="L29" s="311"/>
      <c r="M29" s="311"/>
      <c r="N29" s="315"/>
      <c r="O29" s="315"/>
      <c r="P29" s="315"/>
      <c r="Q29" s="200"/>
      <c r="R29" s="345"/>
      <c r="S29" s="303"/>
      <c r="T29" s="311"/>
      <c r="U29" s="311"/>
      <c r="V29" s="315"/>
      <c r="W29" s="315"/>
      <c r="X29" s="311"/>
      <c r="Y29" s="464"/>
      <c r="Z29" s="342">
        <f t="shared" si="2"/>
        <v>860400</v>
      </c>
    </row>
    <row r="30" spans="1:26" s="184" customFormat="1" ht="18.75" customHeight="1" x14ac:dyDescent="0.2">
      <c r="A30" s="1135"/>
      <c r="B30" s="1046"/>
      <c r="C30" s="179" t="s">
        <v>112</v>
      </c>
      <c r="D30" s="315" t="s">
        <v>185</v>
      </c>
      <c r="E30" s="311">
        <v>1</v>
      </c>
      <c r="F30" s="185">
        <v>65000</v>
      </c>
      <c r="G30" s="315">
        <v>1.05</v>
      </c>
      <c r="H30" s="315">
        <v>1.05</v>
      </c>
      <c r="I30" s="339">
        <f t="shared" si="3"/>
        <v>71700</v>
      </c>
      <c r="J30" s="356">
        <f t="shared" si="1"/>
        <v>860400</v>
      </c>
      <c r="K30" s="442"/>
      <c r="L30" s="311"/>
      <c r="M30" s="311"/>
      <c r="N30" s="315"/>
      <c r="O30" s="315"/>
      <c r="P30" s="315"/>
      <c r="Q30" s="200"/>
      <c r="R30" s="345"/>
      <c r="S30" s="303"/>
      <c r="T30" s="311"/>
      <c r="U30" s="311"/>
      <c r="V30" s="315"/>
      <c r="W30" s="315"/>
      <c r="X30" s="311"/>
      <c r="Y30" s="464"/>
      <c r="Z30" s="342">
        <f t="shared" si="2"/>
        <v>860400</v>
      </c>
    </row>
    <row r="31" spans="1:26" s="184" customFormat="1" ht="18.75" customHeight="1" x14ac:dyDescent="0.2">
      <c r="A31" s="182">
        <v>11</v>
      </c>
      <c r="B31" s="459" t="s">
        <v>111</v>
      </c>
      <c r="C31" s="179" t="s">
        <v>110</v>
      </c>
      <c r="D31" s="315" t="s">
        <v>185</v>
      </c>
      <c r="E31" s="311">
        <v>1</v>
      </c>
      <c r="F31" s="185">
        <v>65000</v>
      </c>
      <c r="G31" s="315">
        <v>1.05</v>
      </c>
      <c r="H31" s="315">
        <v>1.05</v>
      </c>
      <c r="I31" s="339">
        <f t="shared" si="3"/>
        <v>71700</v>
      </c>
      <c r="J31" s="356">
        <f t="shared" si="1"/>
        <v>860400</v>
      </c>
      <c r="K31" s="442"/>
      <c r="L31" s="311"/>
      <c r="M31" s="311"/>
      <c r="N31" s="315"/>
      <c r="O31" s="315"/>
      <c r="P31" s="315"/>
      <c r="Q31" s="200"/>
      <c r="R31" s="345"/>
      <c r="S31" s="303"/>
      <c r="T31" s="311"/>
      <c r="U31" s="311"/>
      <c r="V31" s="315"/>
      <c r="W31" s="315"/>
      <c r="X31" s="311"/>
      <c r="Y31" s="464"/>
      <c r="Z31" s="342">
        <f t="shared" si="2"/>
        <v>860400</v>
      </c>
    </row>
    <row r="32" spans="1:26" s="184" customFormat="1" ht="18.75" customHeight="1" x14ac:dyDescent="0.2">
      <c r="A32" s="1134">
        <v>12</v>
      </c>
      <c r="B32" s="1046" t="s">
        <v>109</v>
      </c>
      <c r="C32" s="179" t="s">
        <v>108</v>
      </c>
      <c r="D32" s="315" t="s">
        <v>185</v>
      </c>
      <c r="E32" s="311">
        <v>1</v>
      </c>
      <c r="F32" s="185">
        <v>65000</v>
      </c>
      <c r="G32" s="315">
        <v>1.05</v>
      </c>
      <c r="H32" s="315">
        <v>1.05</v>
      </c>
      <c r="I32" s="339">
        <f t="shared" si="3"/>
        <v>71700</v>
      </c>
      <c r="J32" s="356">
        <f t="shared" si="1"/>
        <v>860400</v>
      </c>
      <c r="K32" s="442"/>
      <c r="L32" s="311"/>
      <c r="M32" s="311"/>
      <c r="N32" s="315"/>
      <c r="O32" s="315"/>
      <c r="P32" s="315"/>
      <c r="Q32" s="200"/>
      <c r="R32" s="345"/>
      <c r="S32" s="303"/>
      <c r="T32" s="311"/>
      <c r="U32" s="311"/>
      <c r="V32" s="315"/>
      <c r="W32" s="315"/>
      <c r="X32" s="311"/>
      <c r="Y32" s="464"/>
      <c r="Z32" s="342">
        <f t="shared" si="2"/>
        <v>860400</v>
      </c>
    </row>
    <row r="33" spans="1:29" s="184" customFormat="1" ht="18.75" customHeight="1" x14ac:dyDescent="0.2">
      <c r="A33" s="1134"/>
      <c r="B33" s="1046"/>
      <c r="C33" s="179" t="s">
        <v>107</v>
      </c>
      <c r="D33" s="315" t="s">
        <v>185</v>
      </c>
      <c r="E33" s="311">
        <v>1</v>
      </c>
      <c r="F33" s="185">
        <v>65000</v>
      </c>
      <c r="G33" s="315">
        <v>1.05</v>
      </c>
      <c r="H33" s="315">
        <v>1.05</v>
      </c>
      <c r="I33" s="339">
        <f t="shared" si="3"/>
        <v>71700</v>
      </c>
      <c r="J33" s="356">
        <f t="shared" si="1"/>
        <v>860400</v>
      </c>
      <c r="K33" s="442"/>
      <c r="L33" s="311"/>
      <c r="M33" s="311"/>
      <c r="N33" s="315"/>
      <c r="O33" s="315"/>
      <c r="P33" s="315"/>
      <c r="Q33" s="200"/>
      <c r="R33" s="345"/>
      <c r="S33" s="303"/>
      <c r="T33" s="311"/>
      <c r="U33" s="311"/>
      <c r="V33" s="315"/>
      <c r="W33" s="315"/>
      <c r="X33" s="311"/>
      <c r="Y33" s="464"/>
      <c r="Z33" s="342">
        <f t="shared" si="2"/>
        <v>860400</v>
      </c>
    </row>
    <row r="34" spans="1:29" s="184" customFormat="1" ht="18.75" customHeight="1" x14ac:dyDescent="0.2">
      <c r="A34" s="182">
        <v>13</v>
      </c>
      <c r="B34" s="459" t="s">
        <v>106</v>
      </c>
      <c r="C34" s="179" t="s">
        <v>105</v>
      </c>
      <c r="D34" s="315" t="s">
        <v>185</v>
      </c>
      <c r="E34" s="311">
        <v>1</v>
      </c>
      <c r="F34" s="185">
        <v>65000</v>
      </c>
      <c r="G34" s="315">
        <v>1.05</v>
      </c>
      <c r="H34" s="315">
        <v>1.05</v>
      </c>
      <c r="I34" s="339">
        <f t="shared" si="3"/>
        <v>71700</v>
      </c>
      <c r="J34" s="356">
        <f t="shared" si="1"/>
        <v>860400</v>
      </c>
      <c r="K34" s="442"/>
      <c r="L34" s="311"/>
      <c r="M34" s="311"/>
      <c r="N34" s="315"/>
      <c r="O34" s="315"/>
      <c r="P34" s="315"/>
      <c r="Q34" s="200"/>
      <c r="R34" s="345"/>
      <c r="S34" s="303"/>
      <c r="T34" s="311"/>
      <c r="U34" s="311"/>
      <c r="V34" s="315"/>
      <c r="W34" s="315"/>
      <c r="X34" s="311"/>
      <c r="Y34" s="464"/>
      <c r="Z34" s="342">
        <f t="shared" si="2"/>
        <v>860400</v>
      </c>
    </row>
    <row r="35" spans="1:29" s="184" customFormat="1" ht="18.75" customHeight="1" x14ac:dyDescent="0.2">
      <c r="A35" s="182">
        <v>14</v>
      </c>
      <c r="B35" s="459" t="s">
        <v>104</v>
      </c>
      <c r="C35" s="179" t="s">
        <v>226</v>
      </c>
      <c r="D35" s="315" t="s">
        <v>185</v>
      </c>
      <c r="E35" s="311">
        <v>1</v>
      </c>
      <c r="F35" s="185">
        <v>65000</v>
      </c>
      <c r="G35" s="315">
        <v>1.05</v>
      </c>
      <c r="H35" s="315">
        <v>1.05</v>
      </c>
      <c r="I35" s="339">
        <f t="shared" si="3"/>
        <v>71700</v>
      </c>
      <c r="J35" s="356">
        <f t="shared" si="1"/>
        <v>860400</v>
      </c>
      <c r="K35" s="442"/>
      <c r="L35" s="311"/>
      <c r="M35" s="311"/>
      <c r="N35" s="315"/>
      <c r="O35" s="315"/>
      <c r="P35" s="315"/>
      <c r="Q35" s="200"/>
      <c r="R35" s="345"/>
      <c r="S35" s="303"/>
      <c r="T35" s="311"/>
      <c r="U35" s="311"/>
      <c r="V35" s="315"/>
      <c r="W35" s="315"/>
      <c r="X35" s="311"/>
      <c r="Y35" s="464"/>
      <c r="Z35" s="342">
        <f t="shared" si="2"/>
        <v>860400</v>
      </c>
    </row>
    <row r="36" spans="1:29" s="184" customFormat="1" ht="18.75" customHeight="1" x14ac:dyDescent="0.2">
      <c r="A36" s="182">
        <v>15</v>
      </c>
      <c r="B36" s="459" t="s">
        <v>234</v>
      </c>
      <c r="C36" s="179" t="s">
        <v>235</v>
      </c>
      <c r="D36" s="315" t="s">
        <v>185</v>
      </c>
      <c r="E36" s="311">
        <v>1</v>
      </c>
      <c r="F36" s="185">
        <v>65000</v>
      </c>
      <c r="G36" s="315">
        <v>1.05</v>
      </c>
      <c r="H36" s="315">
        <v>1.05</v>
      </c>
      <c r="I36" s="339">
        <f t="shared" si="3"/>
        <v>71700</v>
      </c>
      <c r="J36" s="356">
        <f t="shared" si="1"/>
        <v>860400</v>
      </c>
      <c r="K36" s="442"/>
      <c r="L36" s="311"/>
      <c r="M36" s="311"/>
      <c r="N36" s="315"/>
      <c r="O36" s="315"/>
      <c r="P36" s="315"/>
      <c r="Q36" s="200"/>
      <c r="R36" s="345"/>
      <c r="S36" s="303"/>
      <c r="T36" s="311"/>
      <c r="U36" s="311"/>
      <c r="V36" s="315"/>
      <c r="W36" s="315"/>
      <c r="X36" s="311"/>
      <c r="Y36" s="464"/>
      <c r="Z36" s="342">
        <f t="shared" si="2"/>
        <v>860400</v>
      </c>
    </row>
    <row r="37" spans="1:29" s="184" customFormat="1" ht="18.75" customHeight="1" x14ac:dyDescent="0.2">
      <c r="A37" s="182">
        <v>16</v>
      </c>
      <c r="B37" s="459" t="s">
        <v>102</v>
      </c>
      <c r="C37" s="179" t="s">
        <v>100</v>
      </c>
      <c r="D37" s="315" t="s">
        <v>185</v>
      </c>
      <c r="E37" s="311">
        <v>1</v>
      </c>
      <c r="F37" s="185">
        <v>65000</v>
      </c>
      <c r="G37" s="315">
        <v>1.05</v>
      </c>
      <c r="H37" s="315">
        <v>1.05</v>
      </c>
      <c r="I37" s="339">
        <f t="shared" si="3"/>
        <v>71700</v>
      </c>
      <c r="J37" s="356">
        <f t="shared" si="1"/>
        <v>860400</v>
      </c>
      <c r="K37" s="442"/>
      <c r="L37" s="311"/>
      <c r="M37" s="311"/>
      <c r="N37" s="315"/>
      <c r="O37" s="315"/>
      <c r="P37" s="315"/>
      <c r="Q37" s="200"/>
      <c r="R37" s="345"/>
      <c r="S37" s="303"/>
      <c r="T37" s="311"/>
      <c r="U37" s="311"/>
      <c r="V37" s="315"/>
      <c r="W37" s="315"/>
      <c r="X37" s="311"/>
      <c r="Y37" s="464"/>
      <c r="Z37" s="342">
        <f t="shared" si="2"/>
        <v>860400</v>
      </c>
    </row>
    <row r="38" spans="1:29" s="184" customFormat="1" ht="18.75" customHeight="1" x14ac:dyDescent="0.2">
      <c r="A38" s="182">
        <v>17</v>
      </c>
      <c r="B38" s="459" t="s">
        <v>99</v>
      </c>
      <c r="C38" s="179" t="s">
        <v>98</v>
      </c>
      <c r="D38" s="315" t="s">
        <v>185</v>
      </c>
      <c r="E38" s="311">
        <v>1</v>
      </c>
      <c r="F38" s="185">
        <v>65000</v>
      </c>
      <c r="G38" s="315">
        <v>1.05</v>
      </c>
      <c r="H38" s="315">
        <v>1.05</v>
      </c>
      <c r="I38" s="339">
        <f t="shared" si="3"/>
        <v>71700</v>
      </c>
      <c r="J38" s="356">
        <f t="shared" si="1"/>
        <v>860400</v>
      </c>
      <c r="K38" s="442"/>
      <c r="L38" s="311"/>
      <c r="M38" s="311"/>
      <c r="N38" s="315"/>
      <c r="O38" s="315"/>
      <c r="P38" s="315"/>
      <c r="Q38" s="200"/>
      <c r="R38" s="345"/>
      <c r="S38" s="303"/>
      <c r="T38" s="311"/>
      <c r="U38" s="311"/>
      <c r="V38" s="315"/>
      <c r="W38" s="315"/>
      <c r="X38" s="311"/>
      <c r="Y38" s="464"/>
      <c r="Z38" s="342">
        <f t="shared" si="2"/>
        <v>860400</v>
      </c>
    </row>
    <row r="39" spans="1:29" s="184" customFormat="1" ht="18.75" customHeight="1" x14ac:dyDescent="0.2">
      <c r="A39" s="182">
        <v>18</v>
      </c>
      <c r="B39" s="459" t="s">
        <v>97</v>
      </c>
      <c r="C39" s="179" t="s">
        <v>200</v>
      </c>
      <c r="D39" s="315" t="s">
        <v>185</v>
      </c>
      <c r="E39" s="311">
        <v>1</v>
      </c>
      <c r="F39" s="185">
        <v>65000</v>
      </c>
      <c r="G39" s="315">
        <v>1.05</v>
      </c>
      <c r="H39" s="315">
        <v>1.05</v>
      </c>
      <c r="I39" s="339">
        <f t="shared" si="3"/>
        <v>71700</v>
      </c>
      <c r="J39" s="356">
        <f t="shared" si="1"/>
        <v>860400</v>
      </c>
      <c r="K39" s="442"/>
      <c r="L39" s="311"/>
      <c r="M39" s="311"/>
      <c r="N39" s="315"/>
      <c r="O39" s="315"/>
      <c r="P39" s="315"/>
      <c r="Q39" s="200"/>
      <c r="R39" s="345"/>
      <c r="S39" s="303"/>
      <c r="T39" s="311"/>
      <c r="U39" s="311"/>
      <c r="V39" s="315"/>
      <c r="W39" s="315"/>
      <c r="X39" s="311"/>
      <c r="Y39" s="464"/>
      <c r="Z39" s="342">
        <f t="shared" si="2"/>
        <v>860400</v>
      </c>
    </row>
    <row r="40" spans="1:29" s="184" customFormat="1" ht="18.75" customHeight="1" x14ac:dyDescent="0.2">
      <c r="A40" s="182">
        <v>19</v>
      </c>
      <c r="B40" s="459" t="s">
        <v>227</v>
      </c>
      <c r="C40" s="179" t="s">
        <v>228</v>
      </c>
      <c r="D40" s="315" t="s">
        <v>185</v>
      </c>
      <c r="E40" s="311">
        <v>1</v>
      </c>
      <c r="F40" s="185">
        <v>65000</v>
      </c>
      <c r="G40" s="315">
        <v>1.05</v>
      </c>
      <c r="H40" s="315">
        <v>1.05</v>
      </c>
      <c r="I40" s="339">
        <f t="shared" si="3"/>
        <v>71700</v>
      </c>
      <c r="J40" s="356">
        <f t="shared" si="1"/>
        <v>860400</v>
      </c>
      <c r="K40" s="442"/>
      <c r="L40" s="311"/>
      <c r="M40" s="311"/>
      <c r="N40" s="315"/>
      <c r="O40" s="315"/>
      <c r="P40" s="315"/>
      <c r="Q40" s="200"/>
      <c r="R40" s="345"/>
      <c r="S40" s="303"/>
      <c r="T40" s="311"/>
      <c r="U40" s="311"/>
      <c r="V40" s="315"/>
      <c r="W40" s="315"/>
      <c r="X40" s="311"/>
      <c r="Y40" s="464"/>
      <c r="Z40" s="342">
        <f t="shared" si="2"/>
        <v>860400</v>
      </c>
    </row>
    <row r="41" spans="1:29" s="184" customFormat="1" ht="18.75" customHeight="1" x14ac:dyDescent="0.2">
      <c r="A41" s="182">
        <v>20</v>
      </c>
      <c r="B41" s="459" t="s">
        <v>229</v>
      </c>
      <c r="C41" s="179" t="s">
        <v>230</v>
      </c>
      <c r="D41" s="315" t="s">
        <v>185</v>
      </c>
      <c r="E41" s="311">
        <v>1</v>
      </c>
      <c r="F41" s="185">
        <v>65000</v>
      </c>
      <c r="G41" s="315">
        <v>1.05</v>
      </c>
      <c r="H41" s="315">
        <v>1.05</v>
      </c>
      <c r="I41" s="339">
        <f t="shared" si="3"/>
        <v>71700</v>
      </c>
      <c r="J41" s="356">
        <f t="shared" si="1"/>
        <v>860400</v>
      </c>
      <c r="K41" s="442"/>
      <c r="L41" s="311"/>
      <c r="M41" s="311"/>
      <c r="N41" s="315"/>
      <c r="O41" s="315"/>
      <c r="P41" s="315"/>
      <c r="Q41" s="200"/>
      <c r="R41" s="345"/>
      <c r="S41" s="303"/>
      <c r="T41" s="311"/>
      <c r="U41" s="311"/>
      <c r="V41" s="315"/>
      <c r="W41" s="315"/>
      <c r="X41" s="311"/>
      <c r="Y41" s="464"/>
      <c r="Z41" s="342">
        <f t="shared" si="2"/>
        <v>860400</v>
      </c>
    </row>
    <row r="42" spans="1:29" s="184" customFormat="1" ht="18.75" customHeight="1" x14ac:dyDescent="0.2">
      <c r="A42" s="1193">
        <v>21</v>
      </c>
      <c r="B42" s="1073" t="s">
        <v>231</v>
      </c>
      <c r="C42" s="179" t="s">
        <v>232</v>
      </c>
      <c r="D42" s="315" t="s">
        <v>185</v>
      </c>
      <c r="E42" s="311">
        <v>1</v>
      </c>
      <c r="F42" s="185">
        <v>65000</v>
      </c>
      <c r="G42" s="315">
        <v>1.05</v>
      </c>
      <c r="H42" s="315">
        <v>1.05</v>
      </c>
      <c r="I42" s="339">
        <f t="shared" si="3"/>
        <v>71700</v>
      </c>
      <c r="J42" s="356">
        <f t="shared" si="1"/>
        <v>860400</v>
      </c>
      <c r="K42" s="442"/>
      <c r="L42" s="311"/>
      <c r="M42" s="311"/>
      <c r="N42" s="315"/>
      <c r="O42" s="315"/>
      <c r="P42" s="315"/>
      <c r="Q42" s="200"/>
      <c r="R42" s="345"/>
      <c r="S42" s="303"/>
      <c r="T42" s="311"/>
      <c r="U42" s="311"/>
      <c r="V42" s="315"/>
      <c r="W42" s="315"/>
      <c r="X42" s="311"/>
      <c r="Y42" s="464"/>
      <c r="Z42" s="342">
        <f t="shared" si="2"/>
        <v>860400</v>
      </c>
    </row>
    <row r="43" spans="1:29" s="184" customFormat="1" ht="18.75" customHeight="1" x14ac:dyDescent="0.2">
      <c r="A43" s="1194"/>
      <c r="B43" s="1074"/>
      <c r="C43" s="179" t="s">
        <v>233</v>
      </c>
      <c r="D43" s="315" t="s">
        <v>185</v>
      </c>
      <c r="E43" s="311">
        <v>1</v>
      </c>
      <c r="F43" s="185">
        <v>65000</v>
      </c>
      <c r="G43" s="315">
        <v>1.05</v>
      </c>
      <c r="H43" s="315">
        <v>1.05</v>
      </c>
      <c r="I43" s="339">
        <f t="shared" si="3"/>
        <v>71700</v>
      </c>
      <c r="J43" s="356">
        <f t="shared" si="1"/>
        <v>860400</v>
      </c>
      <c r="K43" s="442"/>
      <c r="L43" s="311"/>
      <c r="M43" s="311"/>
      <c r="N43" s="315"/>
      <c r="O43" s="315"/>
      <c r="P43" s="315"/>
      <c r="Q43" s="200"/>
      <c r="R43" s="345"/>
      <c r="S43" s="303"/>
      <c r="T43" s="311"/>
      <c r="U43" s="311"/>
      <c r="V43" s="315"/>
      <c r="W43" s="315"/>
      <c r="X43" s="311"/>
      <c r="Y43" s="464"/>
      <c r="Z43" s="342">
        <f t="shared" si="2"/>
        <v>860400</v>
      </c>
    </row>
    <row r="44" spans="1:29" s="189" customFormat="1" ht="18.75" customHeight="1" x14ac:dyDescent="0.2">
      <c r="A44" s="396"/>
      <c r="B44" s="460" t="s">
        <v>1</v>
      </c>
      <c r="C44" s="398"/>
      <c r="D44" s="400"/>
      <c r="E44" s="399">
        <f>SUM(E6:E43)</f>
        <v>37</v>
      </c>
      <c r="F44" s="399"/>
      <c r="G44" s="400"/>
      <c r="H44" s="400"/>
      <c r="I44" s="399"/>
      <c r="J44" s="401">
        <f>SUM(J6:J43)</f>
        <v>31570800</v>
      </c>
      <c r="K44" s="443"/>
      <c r="L44" s="399"/>
      <c r="M44" s="399"/>
      <c r="N44" s="400"/>
      <c r="O44" s="400"/>
      <c r="P44" s="400"/>
      <c r="Q44" s="399"/>
      <c r="R44" s="403"/>
      <c r="S44" s="402"/>
      <c r="T44" s="399"/>
      <c r="U44" s="399"/>
      <c r="V44" s="400"/>
      <c r="W44" s="400"/>
      <c r="X44" s="399"/>
      <c r="Y44" s="403"/>
      <c r="Z44" s="404">
        <f>SUM(Z6:Z43)</f>
        <v>31570800</v>
      </c>
      <c r="AA44" s="175"/>
      <c r="AB44" s="237"/>
      <c r="AC44" s="188"/>
    </row>
    <row r="45" spans="1:29" s="196" customFormat="1" ht="18.75" customHeight="1" x14ac:dyDescent="0.2">
      <c r="A45" s="209" t="s">
        <v>96</v>
      </c>
      <c r="B45" s="461"/>
      <c r="C45" s="208"/>
      <c r="D45" s="452"/>
      <c r="E45" s="208"/>
      <c r="F45" s="191"/>
      <c r="G45" s="194"/>
      <c r="H45" s="194"/>
      <c r="I45" s="185"/>
      <c r="J45" s="346"/>
      <c r="K45" s="444"/>
      <c r="L45" s="179"/>
      <c r="M45" s="179"/>
      <c r="N45" s="194"/>
      <c r="O45" s="194"/>
      <c r="P45" s="194"/>
      <c r="Q45" s="180"/>
      <c r="R45" s="395"/>
      <c r="S45" s="193"/>
      <c r="T45" s="194"/>
      <c r="U45" s="194"/>
      <c r="V45" s="194"/>
      <c r="W45" s="194"/>
      <c r="X45" s="194"/>
      <c r="Y45" s="465"/>
      <c r="Z45" s="342"/>
    </row>
    <row r="46" spans="1:29" s="196" customFormat="1" ht="18.75" customHeight="1" x14ac:dyDescent="0.2">
      <c r="A46" s="182">
        <v>1</v>
      </c>
      <c r="B46" s="462" t="s">
        <v>95</v>
      </c>
      <c r="C46" s="197" t="s">
        <v>94</v>
      </c>
      <c r="D46" s="453"/>
      <c r="E46" s="198"/>
      <c r="F46" s="185"/>
      <c r="G46" s="315"/>
      <c r="H46" s="315"/>
      <c r="I46" s="339">
        <f t="shared" ref="I46:I50" si="4">ROUND(F46*G46*E46*H46,-2)</f>
        <v>0</v>
      </c>
      <c r="J46" s="356">
        <f t="shared" ref="J46:J77" si="5">I46*$J$5</f>
        <v>0</v>
      </c>
      <c r="K46" s="304">
        <v>1385</v>
      </c>
      <c r="L46" s="311">
        <v>1</v>
      </c>
      <c r="M46" s="200">
        <v>85000</v>
      </c>
      <c r="N46" s="315">
        <v>1.05</v>
      </c>
      <c r="O46" s="315">
        <v>1.05</v>
      </c>
      <c r="P46" s="315">
        <v>1.1000000000000001</v>
      </c>
      <c r="Q46" s="350">
        <f>ROUND(M46*N46*P46*L46*O46,-2)</f>
        <v>103100</v>
      </c>
      <c r="R46" s="356">
        <f>Q46*$R$5</f>
        <v>1237200</v>
      </c>
      <c r="S46" s="304"/>
      <c r="T46" s="315"/>
      <c r="U46" s="315"/>
      <c r="V46" s="315"/>
      <c r="W46" s="315"/>
      <c r="X46" s="315"/>
      <c r="Y46" s="466"/>
      <c r="Z46" s="342">
        <f t="shared" ref="Z46:Z112" si="6">J46+R46+Y46</f>
        <v>1237200</v>
      </c>
    </row>
    <row r="47" spans="1:29" s="196" customFormat="1" ht="18.75" customHeight="1" x14ac:dyDescent="0.2">
      <c r="A47" s="182">
        <v>2</v>
      </c>
      <c r="B47" s="462" t="s">
        <v>93</v>
      </c>
      <c r="C47" s="197" t="s">
        <v>92</v>
      </c>
      <c r="D47" s="453"/>
      <c r="E47" s="198"/>
      <c r="F47" s="185"/>
      <c r="G47" s="315"/>
      <c r="H47" s="315"/>
      <c r="I47" s="339">
        <f t="shared" si="4"/>
        <v>0</v>
      </c>
      <c r="J47" s="356">
        <f t="shared" si="5"/>
        <v>0</v>
      </c>
      <c r="K47" s="304">
        <v>966</v>
      </c>
      <c r="L47" s="311">
        <v>1</v>
      </c>
      <c r="M47" s="200">
        <v>80000</v>
      </c>
      <c r="N47" s="315">
        <v>1.05</v>
      </c>
      <c r="O47" s="315">
        <v>1.05</v>
      </c>
      <c r="P47" s="315">
        <v>1</v>
      </c>
      <c r="Q47" s="350">
        <f t="shared" ref="Q47:Q59" si="7">ROUND(M47*N47*P47*L47*O47,-2)</f>
        <v>88200</v>
      </c>
      <c r="R47" s="356">
        <f t="shared" ref="R47:R59" si="8">Q47*$R$5</f>
        <v>1058400</v>
      </c>
      <c r="S47" s="304"/>
      <c r="T47" s="315"/>
      <c r="U47" s="315"/>
      <c r="V47" s="315"/>
      <c r="W47" s="315"/>
      <c r="X47" s="315"/>
      <c r="Y47" s="466"/>
      <c r="Z47" s="342">
        <f t="shared" si="6"/>
        <v>1058400</v>
      </c>
    </row>
    <row r="48" spans="1:29" s="196" customFormat="1" ht="18.75" customHeight="1" x14ac:dyDescent="0.2">
      <c r="A48" s="182">
        <v>3</v>
      </c>
      <c r="B48" s="462" t="s">
        <v>91</v>
      </c>
      <c r="C48" s="197" t="s">
        <v>179</v>
      </c>
      <c r="D48" s="453"/>
      <c r="E48" s="198"/>
      <c r="F48" s="185"/>
      <c r="G48" s="315"/>
      <c r="H48" s="315"/>
      <c r="I48" s="339">
        <f t="shared" si="4"/>
        <v>0</v>
      </c>
      <c r="J48" s="356">
        <f t="shared" si="5"/>
        <v>0</v>
      </c>
      <c r="K48" s="304">
        <v>1202</v>
      </c>
      <c r="L48" s="311">
        <v>1</v>
      </c>
      <c r="M48" s="200">
        <v>85000</v>
      </c>
      <c r="N48" s="315">
        <v>1.05</v>
      </c>
      <c r="O48" s="315">
        <v>1.05</v>
      </c>
      <c r="P48" s="315">
        <v>1</v>
      </c>
      <c r="Q48" s="350">
        <f t="shared" si="7"/>
        <v>93700</v>
      </c>
      <c r="R48" s="356">
        <f t="shared" si="8"/>
        <v>1124400</v>
      </c>
      <c r="S48" s="304"/>
      <c r="T48" s="315"/>
      <c r="U48" s="315"/>
      <c r="V48" s="315"/>
      <c r="W48" s="315"/>
      <c r="X48" s="315"/>
      <c r="Y48" s="466"/>
      <c r="Z48" s="342">
        <f t="shared" si="6"/>
        <v>1124400</v>
      </c>
    </row>
    <row r="49" spans="1:26" s="196" customFormat="1" ht="18.75" customHeight="1" x14ac:dyDescent="0.2">
      <c r="A49" s="182">
        <v>4</v>
      </c>
      <c r="B49" s="462" t="s">
        <v>90</v>
      </c>
      <c r="C49" s="197" t="s">
        <v>180</v>
      </c>
      <c r="D49" s="453"/>
      <c r="E49" s="198"/>
      <c r="F49" s="185"/>
      <c r="G49" s="315"/>
      <c r="H49" s="315"/>
      <c r="I49" s="339">
        <f t="shared" si="4"/>
        <v>0</v>
      </c>
      <c r="J49" s="356">
        <f t="shared" si="5"/>
        <v>0</v>
      </c>
      <c r="K49" s="304">
        <v>544</v>
      </c>
      <c r="L49" s="311">
        <v>1</v>
      </c>
      <c r="M49" s="200">
        <v>75000</v>
      </c>
      <c r="N49" s="315">
        <v>1.05</v>
      </c>
      <c r="O49" s="315">
        <v>1.05</v>
      </c>
      <c r="P49" s="315">
        <v>1</v>
      </c>
      <c r="Q49" s="350">
        <f t="shared" si="7"/>
        <v>82700</v>
      </c>
      <c r="R49" s="356">
        <f t="shared" si="8"/>
        <v>992400</v>
      </c>
      <c r="S49" s="304"/>
      <c r="T49" s="315"/>
      <c r="U49" s="315"/>
      <c r="V49" s="315"/>
      <c r="W49" s="315"/>
      <c r="X49" s="315"/>
      <c r="Y49" s="466"/>
      <c r="Z49" s="342">
        <f t="shared" si="6"/>
        <v>992400</v>
      </c>
    </row>
    <row r="50" spans="1:26" s="196" customFormat="1" ht="18.75" customHeight="1" x14ac:dyDescent="0.2">
      <c r="A50" s="182">
        <v>5</v>
      </c>
      <c r="B50" s="462" t="s">
        <v>89</v>
      </c>
      <c r="C50" s="197" t="s">
        <v>88</v>
      </c>
      <c r="D50" s="453"/>
      <c r="E50" s="198"/>
      <c r="F50" s="185"/>
      <c r="G50" s="315"/>
      <c r="H50" s="315"/>
      <c r="I50" s="339">
        <f t="shared" si="4"/>
        <v>0</v>
      </c>
      <c r="J50" s="356">
        <f t="shared" si="5"/>
        <v>0</v>
      </c>
      <c r="K50" s="304">
        <v>1282</v>
      </c>
      <c r="L50" s="311">
        <v>1</v>
      </c>
      <c r="M50" s="200">
        <v>85000</v>
      </c>
      <c r="N50" s="315">
        <v>1.05</v>
      </c>
      <c r="O50" s="315">
        <v>1.05</v>
      </c>
      <c r="P50" s="315">
        <v>1.1000000000000001</v>
      </c>
      <c r="Q50" s="350">
        <f t="shared" si="7"/>
        <v>103100</v>
      </c>
      <c r="R50" s="356">
        <f t="shared" si="8"/>
        <v>1237200</v>
      </c>
      <c r="S50" s="304"/>
      <c r="T50" s="315"/>
      <c r="U50" s="315"/>
      <c r="V50" s="315"/>
      <c r="W50" s="315"/>
      <c r="X50" s="315"/>
      <c r="Y50" s="466"/>
      <c r="Z50" s="342">
        <f t="shared" si="6"/>
        <v>1237200</v>
      </c>
    </row>
    <row r="51" spans="1:26" s="196" customFormat="1" ht="18.75" customHeight="1" x14ac:dyDescent="0.2">
      <c r="A51" s="1131">
        <v>6</v>
      </c>
      <c r="B51" s="1073" t="s">
        <v>87</v>
      </c>
      <c r="C51" s="197" t="s">
        <v>85</v>
      </c>
      <c r="D51" s="453" t="s">
        <v>185</v>
      </c>
      <c r="E51" s="198">
        <v>1</v>
      </c>
      <c r="F51" s="185">
        <v>65000</v>
      </c>
      <c r="G51" s="315">
        <v>1.05</v>
      </c>
      <c r="H51" s="315">
        <v>1.05</v>
      </c>
      <c r="I51" s="339">
        <f t="shared" ref="I51" si="9">ROUND(F51*G51*E51*H51,-2)</f>
        <v>71700</v>
      </c>
      <c r="J51" s="356">
        <f t="shared" si="5"/>
        <v>860400</v>
      </c>
      <c r="K51" s="304"/>
      <c r="L51" s="311"/>
      <c r="M51" s="200"/>
      <c r="N51" s="315"/>
      <c r="O51" s="315"/>
      <c r="P51" s="315"/>
      <c r="Q51" s="350">
        <f t="shared" si="7"/>
        <v>0</v>
      </c>
      <c r="R51" s="356">
        <f t="shared" si="8"/>
        <v>0</v>
      </c>
      <c r="S51" s="304"/>
      <c r="T51" s="315"/>
      <c r="U51" s="315"/>
      <c r="V51" s="315"/>
      <c r="W51" s="315"/>
      <c r="X51" s="315"/>
      <c r="Y51" s="466"/>
      <c r="Z51" s="342">
        <f t="shared" si="6"/>
        <v>860400</v>
      </c>
    </row>
    <row r="52" spans="1:26" s="196" customFormat="1" ht="18.75" customHeight="1" x14ac:dyDescent="0.2">
      <c r="A52" s="1132"/>
      <c r="B52" s="1077"/>
      <c r="C52" s="197" t="s">
        <v>239</v>
      </c>
      <c r="D52" s="453" t="s">
        <v>185</v>
      </c>
      <c r="E52" s="198">
        <v>1</v>
      </c>
      <c r="F52" s="185">
        <v>65000</v>
      </c>
      <c r="G52" s="315">
        <v>1.05</v>
      </c>
      <c r="H52" s="315">
        <v>1.05</v>
      </c>
      <c r="I52" s="339">
        <f t="shared" ref="I52:I119" si="10">ROUND(F52*G52*E52*H52,-2)</f>
        <v>71700</v>
      </c>
      <c r="J52" s="356">
        <f t="shared" si="5"/>
        <v>860400</v>
      </c>
      <c r="K52" s="304"/>
      <c r="L52" s="311"/>
      <c r="M52" s="200"/>
      <c r="N52" s="315"/>
      <c r="O52" s="315"/>
      <c r="P52" s="315"/>
      <c r="Q52" s="350">
        <f t="shared" si="7"/>
        <v>0</v>
      </c>
      <c r="R52" s="356">
        <f t="shared" si="8"/>
        <v>0</v>
      </c>
      <c r="S52" s="304"/>
      <c r="T52" s="315"/>
      <c r="U52" s="315"/>
      <c r="V52" s="315"/>
      <c r="W52" s="315"/>
      <c r="X52" s="315"/>
      <c r="Y52" s="466"/>
      <c r="Z52" s="342">
        <f t="shared" si="6"/>
        <v>860400</v>
      </c>
    </row>
    <row r="53" spans="1:26" s="196" customFormat="1" ht="18.75" customHeight="1" x14ac:dyDescent="0.2">
      <c r="A53" s="1132"/>
      <c r="B53" s="1077"/>
      <c r="C53" s="197" t="s">
        <v>86</v>
      </c>
      <c r="D53" s="453"/>
      <c r="E53" s="198"/>
      <c r="F53" s="185"/>
      <c r="G53" s="315"/>
      <c r="H53" s="315"/>
      <c r="I53" s="339">
        <f t="shared" ref="I53" si="11">ROUND(F53*G53*E53*H53,-2)</f>
        <v>0</v>
      </c>
      <c r="J53" s="356">
        <f t="shared" si="5"/>
        <v>0</v>
      </c>
      <c r="K53" s="304">
        <v>1284</v>
      </c>
      <c r="L53" s="311">
        <v>0.5</v>
      </c>
      <c r="M53" s="200">
        <v>85000</v>
      </c>
      <c r="N53" s="315">
        <v>1.05</v>
      </c>
      <c r="O53" s="315">
        <v>1.05</v>
      </c>
      <c r="P53" s="315">
        <v>1</v>
      </c>
      <c r="Q53" s="350">
        <f>ROUND(M53*N53*P53*L53*O53,-2)</f>
        <v>46900</v>
      </c>
      <c r="R53" s="356">
        <f>Q53*$R$5</f>
        <v>562800</v>
      </c>
      <c r="S53" s="304"/>
      <c r="T53" s="315"/>
      <c r="U53" s="315"/>
      <c r="V53" s="315"/>
      <c r="W53" s="315"/>
      <c r="X53" s="315"/>
      <c r="Y53" s="466"/>
      <c r="Z53" s="342">
        <f t="shared" si="6"/>
        <v>562800</v>
      </c>
    </row>
    <row r="54" spans="1:26" s="196" customFormat="1" ht="18.75" customHeight="1" x14ac:dyDescent="0.2">
      <c r="A54" s="1133"/>
      <c r="B54" s="1074"/>
      <c r="C54" s="197" t="s">
        <v>86</v>
      </c>
      <c r="D54" s="453"/>
      <c r="E54" s="198"/>
      <c r="F54" s="185"/>
      <c r="G54" s="315"/>
      <c r="H54" s="315"/>
      <c r="I54" s="339">
        <f t="shared" si="10"/>
        <v>0</v>
      </c>
      <c r="J54" s="356">
        <f t="shared" si="5"/>
        <v>0</v>
      </c>
      <c r="K54" s="304">
        <v>1284</v>
      </c>
      <c r="L54" s="311">
        <v>1</v>
      </c>
      <c r="M54" s="200">
        <v>85000</v>
      </c>
      <c r="N54" s="315">
        <v>1.05</v>
      </c>
      <c r="O54" s="315">
        <v>1.05</v>
      </c>
      <c r="P54" s="315">
        <v>1</v>
      </c>
      <c r="Q54" s="350">
        <f t="shared" ref="Q54" si="12">ROUND(M54*N54*P54*L54*O54,-2)</f>
        <v>93700</v>
      </c>
      <c r="R54" s="356">
        <f t="shared" ref="R54" si="13">Q54*$R$5</f>
        <v>1124400</v>
      </c>
      <c r="S54" s="304"/>
      <c r="T54" s="315"/>
      <c r="U54" s="315"/>
      <c r="V54" s="315"/>
      <c r="W54" s="315"/>
      <c r="X54" s="315"/>
      <c r="Y54" s="466"/>
      <c r="Z54" s="342">
        <f t="shared" si="6"/>
        <v>1124400</v>
      </c>
    </row>
    <row r="55" spans="1:26" s="196" customFormat="1" ht="18.75" customHeight="1" x14ac:dyDescent="0.2">
      <c r="A55" s="1131">
        <v>7</v>
      </c>
      <c r="B55" s="1073" t="s">
        <v>84</v>
      </c>
      <c r="C55" s="197" t="s">
        <v>83</v>
      </c>
      <c r="D55" s="453"/>
      <c r="E55" s="198"/>
      <c r="F55" s="185"/>
      <c r="G55" s="315"/>
      <c r="H55" s="315"/>
      <c r="I55" s="339">
        <f t="shared" si="10"/>
        <v>0</v>
      </c>
      <c r="J55" s="356">
        <f t="shared" si="5"/>
        <v>0</v>
      </c>
      <c r="K55" s="304">
        <v>479</v>
      </c>
      <c r="L55" s="311">
        <v>1</v>
      </c>
      <c r="M55" s="200">
        <v>70000</v>
      </c>
      <c r="N55" s="315">
        <v>1.05</v>
      </c>
      <c r="O55" s="315">
        <v>1.05</v>
      </c>
      <c r="P55" s="315">
        <v>1</v>
      </c>
      <c r="Q55" s="350">
        <f t="shared" si="7"/>
        <v>77200</v>
      </c>
      <c r="R55" s="356">
        <f t="shared" si="8"/>
        <v>926400</v>
      </c>
      <c r="S55" s="304"/>
      <c r="T55" s="315"/>
      <c r="U55" s="315"/>
      <c r="V55" s="315"/>
      <c r="W55" s="315"/>
      <c r="X55" s="315"/>
      <c r="Y55" s="466"/>
      <c r="Z55" s="342">
        <f t="shared" si="6"/>
        <v>926400</v>
      </c>
    </row>
    <row r="56" spans="1:26" s="196" customFormat="1" ht="18.75" customHeight="1" x14ac:dyDescent="0.2">
      <c r="A56" s="1132"/>
      <c r="B56" s="1077"/>
      <c r="C56" s="197" t="s">
        <v>82</v>
      </c>
      <c r="D56" s="453"/>
      <c r="E56" s="198"/>
      <c r="F56" s="185"/>
      <c r="G56" s="315"/>
      <c r="H56" s="315"/>
      <c r="I56" s="339">
        <f t="shared" si="10"/>
        <v>0</v>
      </c>
      <c r="J56" s="356">
        <f t="shared" si="5"/>
        <v>0</v>
      </c>
      <c r="K56" s="304">
        <v>563</v>
      </c>
      <c r="L56" s="311">
        <v>1</v>
      </c>
      <c r="M56" s="200">
        <v>75000</v>
      </c>
      <c r="N56" s="315">
        <v>1.05</v>
      </c>
      <c r="O56" s="315">
        <v>1.05</v>
      </c>
      <c r="P56" s="315">
        <v>1.1000000000000001</v>
      </c>
      <c r="Q56" s="350">
        <f t="shared" si="7"/>
        <v>91000</v>
      </c>
      <c r="R56" s="356">
        <f t="shared" si="8"/>
        <v>1092000</v>
      </c>
      <c r="S56" s="304"/>
      <c r="T56" s="315"/>
      <c r="U56" s="315"/>
      <c r="V56" s="315"/>
      <c r="W56" s="315"/>
      <c r="X56" s="315"/>
      <c r="Y56" s="466"/>
      <c r="Z56" s="342">
        <f t="shared" si="6"/>
        <v>1092000</v>
      </c>
    </row>
    <row r="57" spans="1:26" s="196" customFormat="1" ht="18.75" customHeight="1" x14ac:dyDescent="0.2">
      <c r="A57" s="1133"/>
      <c r="B57" s="1074"/>
      <c r="C57" s="197" t="s">
        <v>81</v>
      </c>
      <c r="D57" s="453"/>
      <c r="E57" s="198"/>
      <c r="F57" s="185"/>
      <c r="G57" s="315"/>
      <c r="H57" s="315"/>
      <c r="I57" s="339">
        <f t="shared" si="10"/>
        <v>0</v>
      </c>
      <c r="J57" s="356">
        <f t="shared" si="5"/>
        <v>0</v>
      </c>
      <c r="K57" s="304">
        <v>287</v>
      </c>
      <c r="L57" s="311">
        <v>1</v>
      </c>
      <c r="M57" s="200">
        <v>60000</v>
      </c>
      <c r="N57" s="315">
        <v>1.05</v>
      </c>
      <c r="O57" s="315">
        <v>1.05</v>
      </c>
      <c r="P57" s="315">
        <v>1.1000000000000001</v>
      </c>
      <c r="Q57" s="350">
        <f t="shared" si="7"/>
        <v>72800</v>
      </c>
      <c r="R57" s="356">
        <f t="shared" si="8"/>
        <v>873600</v>
      </c>
      <c r="S57" s="304"/>
      <c r="T57" s="315"/>
      <c r="U57" s="315"/>
      <c r="V57" s="315"/>
      <c r="W57" s="315"/>
      <c r="X57" s="315"/>
      <c r="Y57" s="466"/>
      <c r="Z57" s="342">
        <f t="shared" si="6"/>
        <v>873600</v>
      </c>
    </row>
    <row r="58" spans="1:26" s="196" customFormat="1" ht="18.75" customHeight="1" x14ac:dyDescent="0.2">
      <c r="A58" s="1131">
        <v>8</v>
      </c>
      <c r="B58" s="1073" t="s">
        <v>80</v>
      </c>
      <c r="C58" s="197" t="s">
        <v>79</v>
      </c>
      <c r="D58" s="453"/>
      <c r="E58" s="198"/>
      <c r="F58" s="185"/>
      <c r="G58" s="315"/>
      <c r="H58" s="315"/>
      <c r="I58" s="339">
        <f t="shared" si="10"/>
        <v>0</v>
      </c>
      <c r="J58" s="356">
        <f t="shared" si="5"/>
        <v>0</v>
      </c>
      <c r="K58" s="304">
        <v>1146</v>
      </c>
      <c r="L58" s="311">
        <v>1</v>
      </c>
      <c r="M58" s="200">
        <v>85000</v>
      </c>
      <c r="N58" s="315">
        <v>1.05</v>
      </c>
      <c r="O58" s="315">
        <v>1.05</v>
      </c>
      <c r="P58" s="315">
        <v>1.1000000000000001</v>
      </c>
      <c r="Q58" s="350">
        <f t="shared" si="7"/>
        <v>103100</v>
      </c>
      <c r="R58" s="356">
        <f t="shared" si="8"/>
        <v>1237200</v>
      </c>
      <c r="S58" s="304"/>
      <c r="T58" s="315"/>
      <c r="U58" s="315"/>
      <c r="V58" s="315"/>
      <c r="W58" s="315"/>
      <c r="X58" s="315"/>
      <c r="Y58" s="466"/>
      <c r="Z58" s="342">
        <f t="shared" si="6"/>
        <v>1237200</v>
      </c>
    </row>
    <row r="59" spans="1:26" s="196" customFormat="1" ht="18.75" customHeight="1" x14ac:dyDescent="0.2">
      <c r="A59" s="1133"/>
      <c r="B59" s="1074"/>
      <c r="C59" s="197" t="s">
        <v>78</v>
      </c>
      <c r="D59" s="453" t="s">
        <v>185</v>
      </c>
      <c r="E59" s="198">
        <v>1</v>
      </c>
      <c r="F59" s="185">
        <v>65000</v>
      </c>
      <c r="G59" s="315">
        <v>1.05</v>
      </c>
      <c r="H59" s="315">
        <v>1.05</v>
      </c>
      <c r="I59" s="339">
        <f t="shared" si="10"/>
        <v>71700</v>
      </c>
      <c r="J59" s="356">
        <f t="shared" si="5"/>
        <v>860400</v>
      </c>
      <c r="K59" s="304"/>
      <c r="L59" s="311"/>
      <c r="M59" s="200"/>
      <c r="N59" s="315"/>
      <c r="O59" s="315"/>
      <c r="P59" s="315"/>
      <c r="Q59" s="350">
        <f t="shared" si="7"/>
        <v>0</v>
      </c>
      <c r="R59" s="356">
        <f t="shared" si="8"/>
        <v>0</v>
      </c>
      <c r="S59" s="304"/>
      <c r="T59" s="315"/>
      <c r="U59" s="315"/>
      <c r="V59" s="315"/>
      <c r="W59" s="315"/>
      <c r="X59" s="315"/>
      <c r="Y59" s="466"/>
      <c r="Z59" s="342">
        <f t="shared" si="6"/>
        <v>860400</v>
      </c>
    </row>
    <row r="60" spans="1:26" s="196" customFormat="1" ht="18.75" customHeight="1" x14ac:dyDescent="0.2">
      <c r="A60" s="182">
        <v>9</v>
      </c>
      <c r="B60" s="462" t="s">
        <v>77</v>
      </c>
      <c r="C60" s="197" t="s">
        <v>174</v>
      </c>
      <c r="D60" s="453"/>
      <c r="E60" s="198"/>
      <c r="F60" s="185"/>
      <c r="G60" s="315"/>
      <c r="H60" s="315"/>
      <c r="I60" s="339">
        <f t="shared" si="10"/>
        <v>0</v>
      </c>
      <c r="J60" s="356">
        <f t="shared" si="5"/>
        <v>0</v>
      </c>
      <c r="K60" s="304">
        <v>1395</v>
      </c>
      <c r="L60" s="311">
        <v>1</v>
      </c>
      <c r="M60" s="200">
        <v>85000</v>
      </c>
      <c r="N60" s="315">
        <v>1.05</v>
      </c>
      <c r="O60" s="315">
        <v>1.05</v>
      </c>
      <c r="P60" s="315">
        <v>1.1000000000000001</v>
      </c>
      <c r="Q60" s="350">
        <f>ROUND(M60*N60*P60*L60*O60,-2)</f>
        <v>103100</v>
      </c>
      <c r="R60" s="356">
        <f>Q60*$R$5</f>
        <v>1237200</v>
      </c>
      <c r="S60" s="304"/>
      <c r="T60" s="315"/>
      <c r="U60" s="315"/>
      <c r="V60" s="315"/>
      <c r="W60" s="315"/>
      <c r="X60" s="315"/>
      <c r="Y60" s="466"/>
      <c r="Z60" s="342">
        <f t="shared" si="6"/>
        <v>1237200</v>
      </c>
    </row>
    <row r="61" spans="1:26" s="196" customFormat="1" ht="18.75" customHeight="1" x14ac:dyDescent="0.2">
      <c r="A61" s="182">
        <v>10</v>
      </c>
      <c r="B61" s="462" t="s">
        <v>76</v>
      </c>
      <c r="C61" s="197" t="s">
        <v>175</v>
      </c>
      <c r="D61" s="453"/>
      <c r="E61" s="198"/>
      <c r="F61" s="185"/>
      <c r="G61" s="315"/>
      <c r="H61" s="315"/>
      <c r="I61" s="339">
        <f t="shared" si="10"/>
        <v>0</v>
      </c>
      <c r="J61" s="356">
        <f t="shared" si="5"/>
        <v>0</v>
      </c>
      <c r="K61" s="304">
        <v>828</v>
      </c>
      <c r="L61" s="311">
        <v>1</v>
      </c>
      <c r="M61" s="200">
        <v>80000</v>
      </c>
      <c r="N61" s="315">
        <v>1.05</v>
      </c>
      <c r="O61" s="315">
        <v>1.05</v>
      </c>
      <c r="P61" s="315">
        <v>1</v>
      </c>
      <c r="Q61" s="350">
        <f t="shared" ref="Q61:Q122" si="14">ROUND(M61*N61*P61*L61*O61,-2)</f>
        <v>88200</v>
      </c>
      <c r="R61" s="356">
        <f t="shared" ref="R61:R122" si="15">Q61*$R$5</f>
        <v>1058400</v>
      </c>
      <c r="S61" s="304"/>
      <c r="T61" s="315"/>
      <c r="U61" s="315"/>
      <c r="V61" s="315"/>
      <c r="W61" s="315"/>
      <c r="X61" s="315"/>
      <c r="Y61" s="466"/>
      <c r="Z61" s="342">
        <f t="shared" si="6"/>
        <v>1058400</v>
      </c>
    </row>
    <row r="62" spans="1:26" s="196" customFormat="1" ht="18.75" customHeight="1" x14ac:dyDescent="0.2">
      <c r="A62" s="1122">
        <v>11</v>
      </c>
      <c r="B62" s="1042" t="s">
        <v>75</v>
      </c>
      <c r="C62" s="197" t="s">
        <v>74</v>
      </c>
      <c r="D62" s="453"/>
      <c r="E62" s="198"/>
      <c r="F62" s="185"/>
      <c r="G62" s="315"/>
      <c r="H62" s="315"/>
      <c r="I62" s="339">
        <f t="shared" si="10"/>
        <v>0</v>
      </c>
      <c r="J62" s="356">
        <f t="shared" si="5"/>
        <v>0</v>
      </c>
      <c r="K62" s="304">
        <v>502</v>
      </c>
      <c r="L62" s="311">
        <v>1</v>
      </c>
      <c r="M62" s="200">
        <v>75000</v>
      </c>
      <c r="N62" s="315">
        <v>1.05</v>
      </c>
      <c r="O62" s="315">
        <v>1.05</v>
      </c>
      <c r="P62" s="315">
        <v>1.1000000000000001</v>
      </c>
      <c r="Q62" s="350">
        <f t="shared" si="14"/>
        <v>91000</v>
      </c>
      <c r="R62" s="356">
        <f t="shared" si="15"/>
        <v>1092000</v>
      </c>
      <c r="S62" s="304"/>
      <c r="T62" s="315"/>
      <c r="U62" s="315"/>
      <c r="V62" s="315"/>
      <c r="W62" s="315"/>
      <c r="X62" s="315"/>
      <c r="Y62" s="466"/>
      <c r="Z62" s="342">
        <f t="shared" si="6"/>
        <v>1092000</v>
      </c>
    </row>
    <row r="63" spans="1:26" s="196" customFormat="1" ht="18.75" customHeight="1" x14ac:dyDescent="0.2">
      <c r="A63" s="1122"/>
      <c r="B63" s="1042"/>
      <c r="C63" s="197" t="s">
        <v>73</v>
      </c>
      <c r="D63" s="453" t="s">
        <v>185</v>
      </c>
      <c r="E63" s="198">
        <v>1</v>
      </c>
      <c r="F63" s="185">
        <v>65000</v>
      </c>
      <c r="G63" s="315">
        <v>1.05</v>
      </c>
      <c r="H63" s="315">
        <v>1.05</v>
      </c>
      <c r="I63" s="339">
        <f t="shared" si="10"/>
        <v>71700</v>
      </c>
      <c r="J63" s="356">
        <f t="shared" si="5"/>
        <v>860400</v>
      </c>
      <c r="K63" s="304"/>
      <c r="L63" s="311"/>
      <c r="M63" s="200"/>
      <c r="N63" s="315"/>
      <c r="O63" s="315"/>
      <c r="P63" s="315"/>
      <c r="Q63" s="350">
        <f t="shared" si="14"/>
        <v>0</v>
      </c>
      <c r="R63" s="356">
        <f t="shared" si="15"/>
        <v>0</v>
      </c>
      <c r="S63" s="304"/>
      <c r="T63" s="315"/>
      <c r="U63" s="315"/>
      <c r="V63" s="315"/>
      <c r="W63" s="315"/>
      <c r="X63" s="315"/>
      <c r="Y63" s="466"/>
      <c r="Z63" s="342">
        <f t="shared" si="6"/>
        <v>860400</v>
      </c>
    </row>
    <row r="64" spans="1:26" s="196" customFormat="1" ht="18.75" customHeight="1" x14ac:dyDescent="0.2">
      <c r="A64" s="1122">
        <v>12</v>
      </c>
      <c r="B64" s="1042" t="s">
        <v>72</v>
      </c>
      <c r="C64" s="197" t="s">
        <v>71</v>
      </c>
      <c r="D64" s="453"/>
      <c r="E64" s="198"/>
      <c r="F64" s="185"/>
      <c r="G64" s="315"/>
      <c r="H64" s="315"/>
      <c r="I64" s="339">
        <f t="shared" si="10"/>
        <v>0</v>
      </c>
      <c r="J64" s="356">
        <f t="shared" si="5"/>
        <v>0</v>
      </c>
      <c r="K64" s="304">
        <v>598</v>
      </c>
      <c r="L64" s="311">
        <v>1</v>
      </c>
      <c r="M64" s="200">
        <v>75000</v>
      </c>
      <c r="N64" s="315">
        <v>1.05</v>
      </c>
      <c r="O64" s="315">
        <v>1.05</v>
      </c>
      <c r="P64" s="315">
        <v>1.1000000000000001</v>
      </c>
      <c r="Q64" s="350">
        <f t="shared" si="14"/>
        <v>91000</v>
      </c>
      <c r="R64" s="356">
        <f t="shared" si="15"/>
        <v>1092000</v>
      </c>
      <c r="S64" s="304"/>
      <c r="T64" s="315"/>
      <c r="U64" s="315"/>
      <c r="V64" s="315"/>
      <c r="W64" s="315"/>
      <c r="X64" s="315"/>
      <c r="Y64" s="466"/>
      <c r="Z64" s="342">
        <f t="shared" si="6"/>
        <v>1092000</v>
      </c>
    </row>
    <row r="65" spans="1:26" s="196" customFormat="1" ht="18.75" customHeight="1" x14ac:dyDescent="0.2">
      <c r="A65" s="1122"/>
      <c r="B65" s="1042"/>
      <c r="C65" s="197" t="s">
        <v>182</v>
      </c>
      <c r="D65" s="453"/>
      <c r="E65" s="198"/>
      <c r="F65" s="185"/>
      <c r="G65" s="315"/>
      <c r="H65" s="315"/>
      <c r="I65" s="339">
        <f t="shared" si="10"/>
        <v>0</v>
      </c>
      <c r="J65" s="356">
        <f t="shared" si="5"/>
        <v>0</v>
      </c>
      <c r="K65" s="304">
        <v>564</v>
      </c>
      <c r="L65" s="311">
        <v>1</v>
      </c>
      <c r="M65" s="200">
        <v>75000</v>
      </c>
      <c r="N65" s="315">
        <v>1.05</v>
      </c>
      <c r="O65" s="315">
        <v>1.05</v>
      </c>
      <c r="P65" s="315">
        <v>1</v>
      </c>
      <c r="Q65" s="350">
        <f t="shared" si="14"/>
        <v>82700</v>
      </c>
      <c r="R65" s="356">
        <f t="shared" si="15"/>
        <v>992400</v>
      </c>
      <c r="S65" s="304"/>
      <c r="T65" s="315"/>
      <c r="U65" s="315"/>
      <c r="V65" s="315"/>
      <c r="W65" s="315"/>
      <c r="X65" s="315"/>
      <c r="Y65" s="466"/>
      <c r="Z65" s="342">
        <f t="shared" si="6"/>
        <v>992400</v>
      </c>
    </row>
    <row r="66" spans="1:26" s="196" customFormat="1" ht="18.75" customHeight="1" x14ac:dyDescent="0.2">
      <c r="A66" s="1122">
        <v>13</v>
      </c>
      <c r="B66" s="1042" t="s">
        <v>69</v>
      </c>
      <c r="C66" s="179" t="s">
        <v>68</v>
      </c>
      <c r="D66" s="318"/>
      <c r="E66" s="199"/>
      <c r="F66" s="200"/>
      <c r="G66" s="315"/>
      <c r="H66" s="315"/>
      <c r="I66" s="339">
        <f t="shared" si="10"/>
        <v>0</v>
      </c>
      <c r="J66" s="356">
        <f t="shared" si="5"/>
        <v>0</v>
      </c>
      <c r="K66" s="304">
        <v>405</v>
      </c>
      <c r="L66" s="311">
        <v>1</v>
      </c>
      <c r="M66" s="200">
        <v>75000</v>
      </c>
      <c r="N66" s="315">
        <v>1.05</v>
      </c>
      <c r="O66" s="315">
        <v>1.05</v>
      </c>
      <c r="P66" s="315">
        <v>1</v>
      </c>
      <c r="Q66" s="350">
        <f t="shared" si="14"/>
        <v>82700</v>
      </c>
      <c r="R66" s="356">
        <f t="shared" si="15"/>
        <v>992400</v>
      </c>
      <c r="S66" s="304"/>
      <c r="T66" s="315"/>
      <c r="U66" s="315"/>
      <c r="V66" s="315"/>
      <c r="W66" s="315"/>
      <c r="X66" s="315"/>
      <c r="Y66" s="466"/>
      <c r="Z66" s="342">
        <f t="shared" si="6"/>
        <v>992400</v>
      </c>
    </row>
    <row r="67" spans="1:26" s="196" customFormat="1" ht="18.75" customHeight="1" x14ac:dyDescent="0.2">
      <c r="A67" s="1122"/>
      <c r="B67" s="1042"/>
      <c r="C67" s="179" t="s">
        <v>67</v>
      </c>
      <c r="D67" s="318"/>
      <c r="E67" s="199"/>
      <c r="F67" s="200"/>
      <c r="G67" s="315"/>
      <c r="H67" s="315"/>
      <c r="I67" s="339">
        <f t="shared" si="10"/>
        <v>0</v>
      </c>
      <c r="J67" s="356">
        <f t="shared" si="5"/>
        <v>0</v>
      </c>
      <c r="K67" s="304">
        <v>564</v>
      </c>
      <c r="L67" s="311">
        <v>1</v>
      </c>
      <c r="M67" s="200">
        <v>70000</v>
      </c>
      <c r="N67" s="315">
        <v>1.05</v>
      </c>
      <c r="O67" s="315">
        <v>1.05</v>
      </c>
      <c r="P67" s="315">
        <v>1.1000000000000001</v>
      </c>
      <c r="Q67" s="350">
        <f t="shared" si="14"/>
        <v>84900</v>
      </c>
      <c r="R67" s="356">
        <f t="shared" si="15"/>
        <v>1018800</v>
      </c>
      <c r="S67" s="304"/>
      <c r="T67" s="315"/>
      <c r="U67" s="315"/>
      <c r="V67" s="315"/>
      <c r="W67" s="315"/>
      <c r="X67" s="315"/>
      <c r="Y67" s="466"/>
      <c r="Z67" s="342">
        <f t="shared" si="6"/>
        <v>1018800</v>
      </c>
    </row>
    <row r="68" spans="1:26" s="196" customFormat="1" ht="18.75" customHeight="1" x14ac:dyDescent="0.2">
      <c r="A68" s="1131">
        <v>14</v>
      </c>
      <c r="B68" s="1073" t="s">
        <v>66</v>
      </c>
      <c r="C68" s="179" t="s">
        <v>65</v>
      </c>
      <c r="D68" s="318"/>
      <c r="E68" s="199"/>
      <c r="F68" s="200"/>
      <c r="G68" s="315"/>
      <c r="H68" s="315"/>
      <c r="I68" s="339">
        <f t="shared" si="10"/>
        <v>0</v>
      </c>
      <c r="J68" s="356">
        <f t="shared" si="5"/>
        <v>0</v>
      </c>
      <c r="K68" s="304">
        <v>392</v>
      </c>
      <c r="L68" s="311">
        <v>1</v>
      </c>
      <c r="M68" s="200">
        <v>60000</v>
      </c>
      <c r="N68" s="315">
        <v>1.05</v>
      </c>
      <c r="O68" s="315">
        <v>1.05</v>
      </c>
      <c r="P68" s="315">
        <v>1.1000000000000001</v>
      </c>
      <c r="Q68" s="350">
        <f t="shared" si="14"/>
        <v>72800</v>
      </c>
      <c r="R68" s="356">
        <f t="shared" si="15"/>
        <v>873600</v>
      </c>
      <c r="S68" s="304"/>
      <c r="T68" s="315"/>
      <c r="U68" s="315"/>
      <c r="V68" s="315"/>
      <c r="W68" s="315"/>
      <c r="X68" s="315"/>
      <c r="Y68" s="466"/>
      <c r="Z68" s="342">
        <f t="shared" si="6"/>
        <v>873600</v>
      </c>
    </row>
    <row r="69" spans="1:26" s="196" customFormat="1" ht="18.75" customHeight="1" x14ac:dyDescent="0.2">
      <c r="A69" s="1132"/>
      <c r="B69" s="1077"/>
      <c r="C69" s="179" t="s">
        <v>64</v>
      </c>
      <c r="D69" s="318"/>
      <c r="E69" s="199"/>
      <c r="F69" s="200"/>
      <c r="G69" s="315"/>
      <c r="H69" s="315"/>
      <c r="I69" s="339">
        <f t="shared" si="10"/>
        <v>0</v>
      </c>
      <c r="J69" s="356">
        <f t="shared" si="5"/>
        <v>0</v>
      </c>
      <c r="K69" s="304">
        <v>82</v>
      </c>
      <c r="L69" s="311">
        <v>1</v>
      </c>
      <c r="M69" s="200">
        <v>60000</v>
      </c>
      <c r="N69" s="315">
        <v>1.05</v>
      </c>
      <c r="O69" s="315">
        <v>1.05</v>
      </c>
      <c r="P69" s="315">
        <v>1.1000000000000001</v>
      </c>
      <c r="Q69" s="350">
        <f t="shared" si="14"/>
        <v>72800</v>
      </c>
      <c r="R69" s="356">
        <f t="shared" si="15"/>
        <v>873600</v>
      </c>
      <c r="S69" s="304"/>
      <c r="T69" s="315"/>
      <c r="U69" s="315"/>
      <c r="V69" s="315"/>
      <c r="W69" s="315"/>
      <c r="X69" s="315"/>
      <c r="Y69" s="466"/>
      <c r="Z69" s="342">
        <f t="shared" si="6"/>
        <v>873600</v>
      </c>
    </row>
    <row r="70" spans="1:26" s="196" customFormat="1" ht="18.75" customHeight="1" x14ac:dyDescent="0.2">
      <c r="A70" s="1132"/>
      <c r="B70" s="1077"/>
      <c r="C70" s="179" t="s">
        <v>63</v>
      </c>
      <c r="D70" s="318" t="s">
        <v>186</v>
      </c>
      <c r="E70" s="199">
        <v>1</v>
      </c>
      <c r="F70" s="200">
        <v>60000</v>
      </c>
      <c r="G70" s="315">
        <v>1.05</v>
      </c>
      <c r="H70" s="315">
        <v>1.05</v>
      </c>
      <c r="I70" s="339">
        <f t="shared" si="10"/>
        <v>66200</v>
      </c>
      <c r="J70" s="356">
        <f t="shared" si="5"/>
        <v>794400</v>
      </c>
      <c r="K70" s="304"/>
      <c r="L70" s="311"/>
      <c r="M70" s="200"/>
      <c r="N70" s="315"/>
      <c r="O70" s="315"/>
      <c r="P70" s="315"/>
      <c r="Q70" s="350">
        <f t="shared" si="14"/>
        <v>0</v>
      </c>
      <c r="R70" s="356">
        <f t="shared" si="15"/>
        <v>0</v>
      </c>
      <c r="S70" s="304"/>
      <c r="T70" s="315"/>
      <c r="U70" s="315"/>
      <c r="V70" s="315"/>
      <c r="W70" s="315"/>
      <c r="X70" s="315"/>
      <c r="Y70" s="466"/>
      <c r="Z70" s="342">
        <f>J70+R70+Y70</f>
        <v>794400</v>
      </c>
    </row>
    <row r="71" spans="1:26" s="196" customFormat="1" ht="18.75" customHeight="1" x14ac:dyDescent="0.2">
      <c r="A71" s="1132"/>
      <c r="B71" s="1077"/>
      <c r="C71" s="179" t="s">
        <v>62</v>
      </c>
      <c r="D71" s="318" t="s">
        <v>186</v>
      </c>
      <c r="E71" s="199">
        <v>1</v>
      </c>
      <c r="F71" s="200">
        <v>60000</v>
      </c>
      <c r="G71" s="315">
        <v>1.05</v>
      </c>
      <c r="H71" s="315">
        <v>1.05</v>
      </c>
      <c r="I71" s="339">
        <f t="shared" si="10"/>
        <v>66200</v>
      </c>
      <c r="J71" s="356">
        <f t="shared" si="5"/>
        <v>794400</v>
      </c>
      <c r="K71" s="304"/>
      <c r="L71" s="311"/>
      <c r="M71" s="200"/>
      <c r="N71" s="315"/>
      <c r="O71" s="315"/>
      <c r="P71" s="315"/>
      <c r="Q71" s="350">
        <f t="shared" si="14"/>
        <v>0</v>
      </c>
      <c r="R71" s="356">
        <f t="shared" si="15"/>
        <v>0</v>
      </c>
      <c r="S71" s="304"/>
      <c r="T71" s="315"/>
      <c r="U71" s="315"/>
      <c r="V71" s="315"/>
      <c r="W71" s="315"/>
      <c r="X71" s="315"/>
      <c r="Y71" s="466"/>
      <c r="Z71" s="342">
        <f t="shared" si="6"/>
        <v>794400</v>
      </c>
    </row>
    <row r="72" spans="1:26" s="196" customFormat="1" ht="18.75" customHeight="1" x14ac:dyDescent="0.2">
      <c r="A72" s="1133"/>
      <c r="B72" s="1074"/>
      <c r="C72" s="179" t="s">
        <v>61</v>
      </c>
      <c r="D72" s="318" t="s">
        <v>186</v>
      </c>
      <c r="E72" s="199">
        <v>1</v>
      </c>
      <c r="F72" s="200">
        <v>60000</v>
      </c>
      <c r="G72" s="315">
        <v>1.05</v>
      </c>
      <c r="H72" s="315">
        <v>1.05</v>
      </c>
      <c r="I72" s="339">
        <f t="shared" si="10"/>
        <v>66200</v>
      </c>
      <c r="J72" s="356">
        <f t="shared" si="5"/>
        <v>794400</v>
      </c>
      <c r="K72" s="304"/>
      <c r="L72" s="311"/>
      <c r="M72" s="200"/>
      <c r="N72" s="315"/>
      <c r="O72" s="315"/>
      <c r="P72" s="315"/>
      <c r="Q72" s="350">
        <f t="shared" si="14"/>
        <v>0</v>
      </c>
      <c r="R72" s="356">
        <f t="shared" si="15"/>
        <v>0</v>
      </c>
      <c r="S72" s="304"/>
      <c r="T72" s="315"/>
      <c r="U72" s="315"/>
      <c r="V72" s="315"/>
      <c r="W72" s="315"/>
      <c r="X72" s="315"/>
      <c r="Y72" s="466"/>
      <c r="Z72" s="342">
        <f t="shared" si="6"/>
        <v>794400</v>
      </c>
    </row>
    <row r="73" spans="1:26" s="196" customFormat="1" ht="18.75" customHeight="1" x14ac:dyDescent="0.2">
      <c r="A73" s="1131">
        <v>15</v>
      </c>
      <c r="B73" s="1073" t="s">
        <v>60</v>
      </c>
      <c r="C73" s="179" t="s">
        <v>59</v>
      </c>
      <c r="D73" s="318"/>
      <c r="E73" s="199"/>
      <c r="F73" s="200"/>
      <c r="G73" s="315"/>
      <c r="H73" s="315"/>
      <c r="I73" s="339">
        <f t="shared" si="10"/>
        <v>0</v>
      </c>
      <c r="J73" s="356">
        <f t="shared" si="5"/>
        <v>0</v>
      </c>
      <c r="K73" s="304">
        <v>776</v>
      </c>
      <c r="L73" s="311">
        <v>1</v>
      </c>
      <c r="M73" s="200">
        <v>80000</v>
      </c>
      <c r="N73" s="315">
        <v>1.05</v>
      </c>
      <c r="O73" s="315">
        <v>1.05</v>
      </c>
      <c r="P73" s="315">
        <v>1.1000000000000001</v>
      </c>
      <c r="Q73" s="350">
        <f t="shared" si="14"/>
        <v>97000</v>
      </c>
      <c r="R73" s="356">
        <f t="shared" si="15"/>
        <v>1164000</v>
      </c>
      <c r="S73" s="304"/>
      <c r="T73" s="315"/>
      <c r="U73" s="315"/>
      <c r="V73" s="315"/>
      <c r="W73" s="315"/>
      <c r="X73" s="315"/>
      <c r="Y73" s="466"/>
      <c r="Z73" s="342">
        <f t="shared" si="6"/>
        <v>1164000</v>
      </c>
    </row>
    <row r="74" spans="1:26" s="196" customFormat="1" ht="18.75" customHeight="1" x14ac:dyDescent="0.2">
      <c r="A74" s="1132"/>
      <c r="B74" s="1077"/>
      <c r="C74" s="179" t="s">
        <v>58</v>
      </c>
      <c r="D74" s="318"/>
      <c r="E74" s="199"/>
      <c r="F74" s="200"/>
      <c r="G74" s="315"/>
      <c r="H74" s="315"/>
      <c r="I74" s="339">
        <f t="shared" si="10"/>
        <v>0</v>
      </c>
      <c r="J74" s="356">
        <f t="shared" si="5"/>
        <v>0</v>
      </c>
      <c r="K74" s="304">
        <v>52</v>
      </c>
      <c r="L74" s="311">
        <v>1</v>
      </c>
      <c r="M74" s="200">
        <v>60000</v>
      </c>
      <c r="N74" s="315">
        <v>1.05</v>
      </c>
      <c r="O74" s="315">
        <v>1.05</v>
      </c>
      <c r="P74" s="315">
        <v>1</v>
      </c>
      <c r="Q74" s="350">
        <f t="shared" si="14"/>
        <v>66200</v>
      </c>
      <c r="R74" s="356">
        <f t="shared" si="15"/>
        <v>794400</v>
      </c>
      <c r="S74" s="304"/>
      <c r="T74" s="315"/>
      <c r="U74" s="315"/>
      <c r="V74" s="315"/>
      <c r="W74" s="315"/>
      <c r="X74" s="315"/>
      <c r="Y74" s="466"/>
      <c r="Z74" s="342">
        <f t="shared" si="6"/>
        <v>794400</v>
      </c>
    </row>
    <row r="75" spans="1:26" s="196" customFormat="1" ht="18.75" customHeight="1" x14ac:dyDescent="0.2">
      <c r="A75" s="1132"/>
      <c r="B75" s="1077"/>
      <c r="C75" s="179" t="s">
        <v>57</v>
      </c>
      <c r="D75" s="318" t="s">
        <v>185</v>
      </c>
      <c r="E75" s="199">
        <v>1</v>
      </c>
      <c r="F75" s="200">
        <v>65000</v>
      </c>
      <c r="G75" s="315">
        <v>1.05</v>
      </c>
      <c r="H75" s="315">
        <v>1.05</v>
      </c>
      <c r="I75" s="339">
        <f t="shared" si="10"/>
        <v>71700</v>
      </c>
      <c r="J75" s="356">
        <f t="shared" si="5"/>
        <v>860400</v>
      </c>
      <c r="K75" s="304"/>
      <c r="L75" s="311"/>
      <c r="M75" s="200"/>
      <c r="N75" s="315"/>
      <c r="O75" s="315"/>
      <c r="P75" s="315"/>
      <c r="Q75" s="350">
        <f t="shared" si="14"/>
        <v>0</v>
      </c>
      <c r="R75" s="356">
        <f t="shared" si="15"/>
        <v>0</v>
      </c>
      <c r="S75" s="304"/>
      <c r="T75" s="315"/>
      <c r="U75" s="315"/>
      <c r="V75" s="315"/>
      <c r="W75" s="315"/>
      <c r="X75" s="315"/>
      <c r="Y75" s="466"/>
      <c r="Z75" s="342">
        <f t="shared" si="6"/>
        <v>860400</v>
      </c>
    </row>
    <row r="76" spans="1:26" s="196" customFormat="1" ht="18.75" customHeight="1" x14ac:dyDescent="0.2">
      <c r="A76" s="1133"/>
      <c r="B76" s="1074"/>
      <c r="C76" s="179" t="s">
        <v>56</v>
      </c>
      <c r="D76" s="318" t="s">
        <v>185</v>
      </c>
      <c r="E76" s="199">
        <v>1</v>
      </c>
      <c r="F76" s="200">
        <v>65000</v>
      </c>
      <c r="G76" s="315">
        <v>1.05</v>
      </c>
      <c r="H76" s="315">
        <v>1.05</v>
      </c>
      <c r="I76" s="339">
        <f t="shared" si="10"/>
        <v>71700</v>
      </c>
      <c r="J76" s="356">
        <f t="shared" si="5"/>
        <v>860400</v>
      </c>
      <c r="K76" s="304"/>
      <c r="L76" s="311"/>
      <c r="M76" s="200"/>
      <c r="N76" s="315"/>
      <c r="O76" s="315"/>
      <c r="P76" s="315"/>
      <c r="Q76" s="350">
        <f t="shared" si="14"/>
        <v>0</v>
      </c>
      <c r="R76" s="356">
        <f t="shared" si="15"/>
        <v>0</v>
      </c>
      <c r="S76" s="304"/>
      <c r="T76" s="315"/>
      <c r="U76" s="315"/>
      <c r="V76" s="315"/>
      <c r="W76" s="315"/>
      <c r="X76" s="315"/>
      <c r="Y76" s="466"/>
      <c r="Z76" s="342">
        <f t="shared" si="6"/>
        <v>860400</v>
      </c>
    </row>
    <row r="77" spans="1:26" s="196" customFormat="1" ht="18.75" customHeight="1" x14ac:dyDescent="0.2">
      <c r="A77" s="1131">
        <v>16</v>
      </c>
      <c r="B77" s="1073" t="s">
        <v>55</v>
      </c>
      <c r="C77" s="179" t="s">
        <v>54</v>
      </c>
      <c r="D77" s="318"/>
      <c r="E77" s="199"/>
      <c r="F77" s="200"/>
      <c r="G77" s="315"/>
      <c r="H77" s="315"/>
      <c r="I77" s="339">
        <f t="shared" si="10"/>
        <v>0</v>
      </c>
      <c r="J77" s="356">
        <f t="shared" si="5"/>
        <v>0</v>
      </c>
      <c r="K77" s="304">
        <v>581</v>
      </c>
      <c r="L77" s="311">
        <v>1</v>
      </c>
      <c r="M77" s="200">
        <v>75000</v>
      </c>
      <c r="N77" s="315">
        <v>1.05</v>
      </c>
      <c r="O77" s="315">
        <v>1.05</v>
      </c>
      <c r="P77" s="315">
        <v>1.1000000000000001</v>
      </c>
      <c r="Q77" s="350">
        <f t="shared" si="14"/>
        <v>91000</v>
      </c>
      <c r="R77" s="356">
        <f t="shared" si="15"/>
        <v>1092000</v>
      </c>
      <c r="S77" s="304"/>
      <c r="T77" s="315"/>
      <c r="U77" s="315"/>
      <c r="V77" s="315"/>
      <c r="W77" s="315"/>
      <c r="X77" s="315"/>
      <c r="Y77" s="466"/>
      <c r="Z77" s="342">
        <f t="shared" si="6"/>
        <v>1092000</v>
      </c>
    </row>
    <row r="78" spans="1:26" s="196" customFormat="1" ht="18.75" customHeight="1" x14ac:dyDescent="0.2">
      <c r="A78" s="1132"/>
      <c r="B78" s="1077"/>
      <c r="C78" s="179" t="s">
        <v>53</v>
      </c>
      <c r="D78" s="318" t="s">
        <v>185</v>
      </c>
      <c r="E78" s="199">
        <v>1</v>
      </c>
      <c r="F78" s="200">
        <v>65000</v>
      </c>
      <c r="G78" s="315">
        <v>1.05</v>
      </c>
      <c r="H78" s="315">
        <v>1.05</v>
      </c>
      <c r="I78" s="339">
        <f t="shared" si="10"/>
        <v>71700</v>
      </c>
      <c r="J78" s="356">
        <f t="shared" ref="J78:J109" si="16">I78*$J$5</f>
        <v>860400</v>
      </c>
      <c r="K78" s="304"/>
      <c r="L78" s="311"/>
      <c r="M78" s="200"/>
      <c r="N78" s="315"/>
      <c r="O78" s="315"/>
      <c r="P78" s="315"/>
      <c r="Q78" s="350">
        <f t="shared" si="14"/>
        <v>0</v>
      </c>
      <c r="R78" s="356">
        <f t="shared" si="15"/>
        <v>0</v>
      </c>
      <c r="S78" s="304"/>
      <c r="T78" s="315"/>
      <c r="U78" s="315"/>
      <c r="V78" s="315"/>
      <c r="W78" s="315"/>
      <c r="X78" s="315"/>
      <c r="Y78" s="466"/>
      <c r="Z78" s="342">
        <f t="shared" si="6"/>
        <v>860400</v>
      </c>
    </row>
    <row r="79" spans="1:26" s="196" customFormat="1" ht="18.75" customHeight="1" x14ac:dyDescent="0.2">
      <c r="A79" s="1132"/>
      <c r="B79" s="1077"/>
      <c r="C79" s="179" t="s">
        <v>243</v>
      </c>
      <c r="D79" s="318" t="s">
        <v>186</v>
      </c>
      <c r="E79" s="199">
        <v>1</v>
      </c>
      <c r="F79" s="200">
        <v>60000</v>
      </c>
      <c r="G79" s="315">
        <v>1.05</v>
      </c>
      <c r="H79" s="315">
        <v>1.05</v>
      </c>
      <c r="I79" s="339">
        <f t="shared" si="10"/>
        <v>66200</v>
      </c>
      <c r="J79" s="356">
        <f t="shared" si="16"/>
        <v>794400</v>
      </c>
      <c r="K79" s="304"/>
      <c r="L79" s="311"/>
      <c r="M79" s="200"/>
      <c r="N79" s="315"/>
      <c r="O79" s="315"/>
      <c r="P79" s="315"/>
      <c r="Q79" s="350">
        <f t="shared" si="14"/>
        <v>0</v>
      </c>
      <c r="R79" s="356">
        <f t="shared" si="15"/>
        <v>0</v>
      </c>
      <c r="S79" s="304"/>
      <c r="T79" s="315"/>
      <c r="U79" s="315"/>
      <c r="V79" s="315"/>
      <c r="W79" s="315"/>
      <c r="X79" s="315"/>
      <c r="Y79" s="466"/>
      <c r="Z79" s="342">
        <f t="shared" si="6"/>
        <v>794400</v>
      </c>
    </row>
    <row r="80" spans="1:26" s="196" customFormat="1" ht="18.75" customHeight="1" x14ac:dyDescent="0.2">
      <c r="A80" s="1132"/>
      <c r="B80" s="1077"/>
      <c r="C80" s="179" t="s">
        <v>52</v>
      </c>
      <c r="D80" s="318" t="s">
        <v>185</v>
      </c>
      <c r="E80" s="199">
        <v>1</v>
      </c>
      <c r="F80" s="200">
        <v>65000</v>
      </c>
      <c r="G80" s="315">
        <v>1.05</v>
      </c>
      <c r="H80" s="315">
        <v>1.05</v>
      </c>
      <c r="I80" s="339">
        <f t="shared" si="10"/>
        <v>71700</v>
      </c>
      <c r="J80" s="356">
        <f t="shared" si="16"/>
        <v>860400</v>
      </c>
      <c r="K80" s="304"/>
      <c r="L80" s="311"/>
      <c r="M80" s="200"/>
      <c r="N80" s="315"/>
      <c r="O80" s="315"/>
      <c r="P80" s="315"/>
      <c r="Q80" s="350">
        <f t="shared" si="14"/>
        <v>0</v>
      </c>
      <c r="R80" s="356">
        <f t="shared" si="15"/>
        <v>0</v>
      </c>
      <c r="S80" s="304"/>
      <c r="T80" s="315"/>
      <c r="U80" s="315"/>
      <c r="V80" s="315"/>
      <c r="W80" s="315"/>
      <c r="X80" s="315"/>
      <c r="Y80" s="466"/>
      <c r="Z80" s="342">
        <f t="shared" si="6"/>
        <v>860400</v>
      </c>
    </row>
    <row r="81" spans="1:26" s="196" customFormat="1" ht="18.75" customHeight="1" x14ac:dyDescent="0.2">
      <c r="A81" s="1131">
        <v>17</v>
      </c>
      <c r="B81" s="1073" t="s">
        <v>254</v>
      </c>
      <c r="C81" s="179" t="s">
        <v>181</v>
      </c>
      <c r="D81" s="318"/>
      <c r="E81" s="199"/>
      <c r="F81" s="200"/>
      <c r="G81" s="315"/>
      <c r="H81" s="315"/>
      <c r="I81" s="339">
        <f t="shared" si="10"/>
        <v>0</v>
      </c>
      <c r="J81" s="356">
        <f t="shared" si="16"/>
        <v>0</v>
      </c>
      <c r="K81" s="304">
        <v>1056</v>
      </c>
      <c r="L81" s="311">
        <v>1</v>
      </c>
      <c r="M81" s="200">
        <v>85000</v>
      </c>
      <c r="N81" s="315">
        <v>1.05</v>
      </c>
      <c r="O81" s="315">
        <v>1.05</v>
      </c>
      <c r="P81" s="315">
        <v>1.1000000000000001</v>
      </c>
      <c r="Q81" s="350">
        <f t="shared" si="14"/>
        <v>103100</v>
      </c>
      <c r="R81" s="356">
        <f t="shared" si="15"/>
        <v>1237200</v>
      </c>
      <c r="S81" s="304"/>
      <c r="T81" s="315"/>
      <c r="U81" s="315"/>
      <c r="V81" s="315"/>
      <c r="W81" s="315"/>
      <c r="X81" s="315"/>
      <c r="Y81" s="466"/>
      <c r="Z81" s="342">
        <f t="shared" si="6"/>
        <v>1237200</v>
      </c>
    </row>
    <row r="82" spans="1:26" s="196" customFormat="1" ht="18.75" customHeight="1" x14ac:dyDescent="0.2">
      <c r="A82" s="1132"/>
      <c r="B82" s="1077"/>
      <c r="C82" s="179" t="s">
        <v>49</v>
      </c>
      <c r="D82" s="318"/>
      <c r="E82" s="199"/>
      <c r="F82" s="200"/>
      <c r="G82" s="315"/>
      <c r="H82" s="315"/>
      <c r="I82" s="339">
        <f t="shared" si="10"/>
        <v>0</v>
      </c>
      <c r="J82" s="356">
        <f t="shared" si="16"/>
        <v>0</v>
      </c>
      <c r="K82" s="304">
        <v>148</v>
      </c>
      <c r="L82" s="311">
        <v>1</v>
      </c>
      <c r="M82" s="200">
        <v>60000</v>
      </c>
      <c r="N82" s="315">
        <v>1.05</v>
      </c>
      <c r="O82" s="315">
        <v>1.05</v>
      </c>
      <c r="P82" s="315">
        <v>1</v>
      </c>
      <c r="Q82" s="350">
        <f t="shared" si="14"/>
        <v>66200</v>
      </c>
      <c r="R82" s="356">
        <f t="shared" si="15"/>
        <v>794400</v>
      </c>
      <c r="S82" s="304"/>
      <c r="T82" s="315"/>
      <c r="U82" s="315"/>
      <c r="V82" s="315"/>
      <c r="W82" s="315"/>
      <c r="X82" s="315"/>
      <c r="Y82" s="466"/>
      <c r="Z82" s="342">
        <f t="shared" si="6"/>
        <v>794400</v>
      </c>
    </row>
    <row r="83" spans="1:26" s="196" customFormat="1" ht="18.75" customHeight="1" x14ac:dyDescent="0.2">
      <c r="A83" s="1133"/>
      <c r="B83" s="1074"/>
      <c r="C83" s="179" t="s">
        <v>48</v>
      </c>
      <c r="D83" s="318" t="s">
        <v>186</v>
      </c>
      <c r="E83" s="199">
        <v>1</v>
      </c>
      <c r="F83" s="200">
        <v>60000</v>
      </c>
      <c r="G83" s="315">
        <v>1.05</v>
      </c>
      <c r="H83" s="315">
        <v>1.05</v>
      </c>
      <c r="I83" s="339">
        <f t="shared" si="10"/>
        <v>66200</v>
      </c>
      <c r="J83" s="356">
        <f t="shared" si="16"/>
        <v>794400</v>
      </c>
      <c r="K83" s="304"/>
      <c r="L83" s="311"/>
      <c r="M83" s="200"/>
      <c r="N83" s="315"/>
      <c r="O83" s="315"/>
      <c r="P83" s="315"/>
      <c r="Q83" s="350">
        <f t="shared" si="14"/>
        <v>0</v>
      </c>
      <c r="R83" s="356">
        <f t="shared" si="15"/>
        <v>0</v>
      </c>
      <c r="S83" s="304"/>
      <c r="T83" s="315"/>
      <c r="U83" s="315"/>
      <c r="V83" s="315"/>
      <c r="W83" s="315"/>
      <c r="X83" s="315"/>
      <c r="Y83" s="466"/>
      <c r="Z83" s="342">
        <f t="shared" si="6"/>
        <v>794400</v>
      </c>
    </row>
    <row r="84" spans="1:26" s="196" customFormat="1" ht="18.75" customHeight="1" x14ac:dyDescent="0.2">
      <c r="A84" s="182">
        <v>18</v>
      </c>
      <c r="B84" s="462" t="s">
        <v>47</v>
      </c>
      <c r="C84" s="179" t="s">
        <v>46</v>
      </c>
      <c r="D84" s="318"/>
      <c r="E84" s="199"/>
      <c r="F84" s="200"/>
      <c r="G84" s="315"/>
      <c r="H84" s="315"/>
      <c r="I84" s="339">
        <f t="shared" si="10"/>
        <v>0</v>
      </c>
      <c r="J84" s="356">
        <f t="shared" si="16"/>
        <v>0</v>
      </c>
      <c r="K84" s="304">
        <v>841</v>
      </c>
      <c r="L84" s="311">
        <v>1</v>
      </c>
      <c r="M84" s="200">
        <v>80000</v>
      </c>
      <c r="N84" s="315">
        <v>1.05</v>
      </c>
      <c r="O84" s="315">
        <v>1.05</v>
      </c>
      <c r="P84" s="315">
        <v>1.1000000000000001</v>
      </c>
      <c r="Q84" s="350">
        <f t="shared" si="14"/>
        <v>97000</v>
      </c>
      <c r="R84" s="356">
        <f t="shared" si="15"/>
        <v>1164000</v>
      </c>
      <c r="S84" s="304"/>
      <c r="T84" s="315"/>
      <c r="U84" s="315"/>
      <c r="V84" s="315"/>
      <c r="W84" s="315"/>
      <c r="X84" s="315"/>
      <c r="Y84" s="466"/>
      <c r="Z84" s="342">
        <f t="shared" si="6"/>
        <v>1164000</v>
      </c>
    </row>
    <row r="85" spans="1:26" s="196" customFormat="1" ht="18.75" customHeight="1" x14ac:dyDescent="0.2">
      <c r="A85" s="1122">
        <v>19</v>
      </c>
      <c r="B85" s="1042" t="s">
        <v>45</v>
      </c>
      <c r="C85" s="179" t="s">
        <v>44</v>
      </c>
      <c r="D85" s="318"/>
      <c r="E85" s="199"/>
      <c r="F85" s="200"/>
      <c r="G85" s="315"/>
      <c r="H85" s="315"/>
      <c r="I85" s="339">
        <f t="shared" si="10"/>
        <v>0</v>
      </c>
      <c r="J85" s="356">
        <f t="shared" si="16"/>
        <v>0</v>
      </c>
      <c r="K85" s="304">
        <v>306</v>
      </c>
      <c r="L85" s="311">
        <v>1</v>
      </c>
      <c r="M85" s="200">
        <v>60000</v>
      </c>
      <c r="N85" s="315">
        <v>1.05</v>
      </c>
      <c r="O85" s="315">
        <v>1.05</v>
      </c>
      <c r="P85" s="315">
        <v>1</v>
      </c>
      <c r="Q85" s="350">
        <f t="shared" si="14"/>
        <v>66200</v>
      </c>
      <c r="R85" s="356">
        <f t="shared" si="15"/>
        <v>794400</v>
      </c>
      <c r="S85" s="304"/>
      <c r="T85" s="315"/>
      <c r="U85" s="315"/>
      <c r="V85" s="315"/>
      <c r="W85" s="315"/>
      <c r="X85" s="315"/>
      <c r="Y85" s="466"/>
      <c r="Z85" s="342">
        <f t="shared" si="6"/>
        <v>794400</v>
      </c>
    </row>
    <row r="86" spans="1:26" s="183" customFormat="1" ht="18.75" customHeight="1" x14ac:dyDescent="0.2">
      <c r="A86" s="1122"/>
      <c r="B86" s="1042"/>
      <c r="C86" s="179" t="s">
        <v>43</v>
      </c>
      <c r="D86" s="318"/>
      <c r="E86" s="199"/>
      <c r="F86" s="200"/>
      <c r="G86" s="315"/>
      <c r="H86" s="315"/>
      <c r="I86" s="339">
        <f t="shared" si="10"/>
        <v>0</v>
      </c>
      <c r="J86" s="356">
        <f t="shared" si="16"/>
        <v>0</v>
      </c>
      <c r="K86" s="304">
        <v>120</v>
      </c>
      <c r="L86" s="311">
        <v>1</v>
      </c>
      <c r="M86" s="200">
        <v>60000</v>
      </c>
      <c r="N86" s="315">
        <v>1.05</v>
      </c>
      <c r="O86" s="315">
        <v>1.05</v>
      </c>
      <c r="P86" s="315">
        <v>1.1000000000000001</v>
      </c>
      <c r="Q86" s="350">
        <f t="shared" si="14"/>
        <v>72800</v>
      </c>
      <c r="R86" s="356">
        <f t="shared" si="15"/>
        <v>873600</v>
      </c>
      <c r="S86" s="317"/>
      <c r="T86" s="318"/>
      <c r="U86" s="318"/>
      <c r="V86" s="318"/>
      <c r="W86" s="318"/>
      <c r="X86" s="318"/>
      <c r="Y86" s="467"/>
      <c r="Z86" s="342">
        <f t="shared" si="6"/>
        <v>873600</v>
      </c>
    </row>
    <row r="87" spans="1:26" s="183" customFormat="1" ht="18.75" customHeight="1" x14ac:dyDescent="0.2">
      <c r="A87" s="1122">
        <v>20</v>
      </c>
      <c r="B87" s="1042" t="s">
        <v>42</v>
      </c>
      <c r="C87" s="179" t="s">
        <v>196</v>
      </c>
      <c r="D87" s="318"/>
      <c r="E87" s="199"/>
      <c r="F87" s="200"/>
      <c r="G87" s="315"/>
      <c r="H87" s="315"/>
      <c r="I87" s="339">
        <f t="shared" si="10"/>
        <v>0</v>
      </c>
      <c r="J87" s="356">
        <f t="shared" si="16"/>
        <v>0</v>
      </c>
      <c r="K87" s="304">
        <v>503</v>
      </c>
      <c r="L87" s="311">
        <v>1</v>
      </c>
      <c r="M87" s="200">
        <v>75000</v>
      </c>
      <c r="N87" s="315">
        <v>1.05</v>
      </c>
      <c r="O87" s="315">
        <v>1.05</v>
      </c>
      <c r="P87" s="315">
        <v>1.1000000000000001</v>
      </c>
      <c r="Q87" s="350">
        <f t="shared" si="14"/>
        <v>91000</v>
      </c>
      <c r="R87" s="356">
        <f t="shared" si="15"/>
        <v>1092000</v>
      </c>
      <c r="S87" s="317"/>
      <c r="T87" s="318"/>
      <c r="U87" s="318"/>
      <c r="V87" s="318"/>
      <c r="W87" s="318"/>
      <c r="X87" s="318"/>
      <c r="Y87" s="467"/>
      <c r="Z87" s="342">
        <f t="shared" si="6"/>
        <v>1092000</v>
      </c>
    </row>
    <row r="88" spans="1:26" s="183" customFormat="1" ht="18.75" customHeight="1" x14ac:dyDescent="0.2">
      <c r="A88" s="1122"/>
      <c r="B88" s="1042"/>
      <c r="C88" s="179" t="s">
        <v>195</v>
      </c>
      <c r="D88" s="318"/>
      <c r="E88" s="199"/>
      <c r="F88" s="200"/>
      <c r="G88" s="315"/>
      <c r="H88" s="315"/>
      <c r="I88" s="339">
        <f t="shared" si="10"/>
        <v>0</v>
      </c>
      <c r="J88" s="356">
        <f t="shared" si="16"/>
        <v>0</v>
      </c>
      <c r="K88" s="304">
        <v>779</v>
      </c>
      <c r="L88" s="311">
        <v>1</v>
      </c>
      <c r="M88" s="200">
        <v>80000</v>
      </c>
      <c r="N88" s="315">
        <v>1.05</v>
      </c>
      <c r="O88" s="315">
        <v>1.05</v>
      </c>
      <c r="P88" s="315">
        <v>1</v>
      </c>
      <c r="Q88" s="350">
        <f t="shared" si="14"/>
        <v>88200</v>
      </c>
      <c r="R88" s="356">
        <f t="shared" si="15"/>
        <v>1058400</v>
      </c>
      <c r="S88" s="317"/>
      <c r="T88" s="318"/>
      <c r="U88" s="318"/>
      <c r="V88" s="318"/>
      <c r="W88" s="318"/>
      <c r="X88" s="318"/>
      <c r="Y88" s="467"/>
      <c r="Z88" s="342">
        <f t="shared" si="6"/>
        <v>1058400</v>
      </c>
    </row>
    <row r="89" spans="1:26" s="183" customFormat="1" ht="18.75" customHeight="1" x14ac:dyDescent="0.2">
      <c r="A89" s="1122"/>
      <c r="B89" s="1042"/>
      <c r="C89" s="179" t="s">
        <v>40</v>
      </c>
      <c r="D89" s="318"/>
      <c r="E89" s="199"/>
      <c r="F89" s="200"/>
      <c r="G89" s="315"/>
      <c r="H89" s="315"/>
      <c r="I89" s="339">
        <f t="shared" si="10"/>
        <v>0</v>
      </c>
      <c r="J89" s="356">
        <f t="shared" si="16"/>
        <v>0</v>
      </c>
      <c r="K89" s="304" t="s">
        <v>211</v>
      </c>
      <c r="L89" s="311">
        <v>1</v>
      </c>
      <c r="M89" s="200">
        <v>60000</v>
      </c>
      <c r="N89" s="315">
        <v>1.05</v>
      </c>
      <c r="O89" s="315">
        <v>1.05</v>
      </c>
      <c r="P89" s="315">
        <v>1</v>
      </c>
      <c r="Q89" s="350">
        <f t="shared" si="14"/>
        <v>66200</v>
      </c>
      <c r="R89" s="356">
        <f t="shared" si="15"/>
        <v>794400</v>
      </c>
      <c r="S89" s="317"/>
      <c r="T89" s="318"/>
      <c r="U89" s="318"/>
      <c r="V89" s="318"/>
      <c r="W89" s="318"/>
      <c r="X89" s="318"/>
      <c r="Y89" s="467"/>
      <c r="Z89" s="342">
        <f t="shared" si="6"/>
        <v>794400</v>
      </c>
    </row>
    <row r="90" spans="1:26" s="183" customFormat="1" ht="18.75" customHeight="1" x14ac:dyDescent="0.2">
      <c r="A90" s="1122">
        <v>21</v>
      </c>
      <c r="B90" s="1042" t="s">
        <v>39</v>
      </c>
      <c r="C90" s="179" t="s">
        <v>38</v>
      </c>
      <c r="D90" s="318"/>
      <c r="E90" s="199"/>
      <c r="F90" s="200"/>
      <c r="G90" s="315"/>
      <c r="H90" s="315"/>
      <c r="I90" s="339">
        <f t="shared" si="10"/>
        <v>0</v>
      </c>
      <c r="J90" s="356">
        <f t="shared" si="16"/>
        <v>0</v>
      </c>
      <c r="K90" s="304">
        <v>232</v>
      </c>
      <c r="L90" s="311">
        <v>1</v>
      </c>
      <c r="M90" s="200">
        <v>60000</v>
      </c>
      <c r="N90" s="315">
        <v>1.05</v>
      </c>
      <c r="O90" s="315">
        <v>1.05</v>
      </c>
      <c r="P90" s="315">
        <v>1.1000000000000001</v>
      </c>
      <c r="Q90" s="350">
        <f t="shared" si="14"/>
        <v>72800</v>
      </c>
      <c r="R90" s="356">
        <f t="shared" si="15"/>
        <v>873600</v>
      </c>
      <c r="S90" s="317"/>
      <c r="T90" s="318"/>
      <c r="U90" s="318"/>
      <c r="V90" s="318"/>
      <c r="W90" s="318"/>
      <c r="X90" s="318"/>
      <c r="Y90" s="467"/>
      <c r="Z90" s="342">
        <f t="shared" si="6"/>
        <v>873600</v>
      </c>
    </row>
    <row r="91" spans="1:26" s="183" customFormat="1" ht="18.75" customHeight="1" x14ac:dyDescent="0.2">
      <c r="A91" s="1122"/>
      <c r="B91" s="1042"/>
      <c r="C91" s="179" t="s">
        <v>250</v>
      </c>
      <c r="D91" s="318"/>
      <c r="E91" s="199"/>
      <c r="F91" s="200"/>
      <c r="G91" s="315"/>
      <c r="H91" s="315"/>
      <c r="I91" s="339">
        <f t="shared" si="10"/>
        <v>0</v>
      </c>
      <c r="J91" s="356">
        <f t="shared" si="16"/>
        <v>0</v>
      </c>
      <c r="K91" s="304">
        <v>76</v>
      </c>
      <c r="L91" s="311">
        <v>1</v>
      </c>
      <c r="M91" s="200">
        <v>60000</v>
      </c>
      <c r="N91" s="315">
        <v>1.05</v>
      </c>
      <c r="O91" s="315">
        <v>1.05</v>
      </c>
      <c r="P91" s="315">
        <v>1</v>
      </c>
      <c r="Q91" s="350">
        <f t="shared" si="14"/>
        <v>66200</v>
      </c>
      <c r="R91" s="356">
        <f t="shared" si="15"/>
        <v>794400</v>
      </c>
      <c r="S91" s="317"/>
      <c r="T91" s="318"/>
      <c r="U91" s="318"/>
      <c r="V91" s="318"/>
      <c r="W91" s="318"/>
      <c r="X91" s="318"/>
      <c r="Y91" s="467"/>
      <c r="Z91" s="342">
        <f t="shared" si="6"/>
        <v>794400</v>
      </c>
    </row>
    <row r="92" spans="1:26" s="183" customFormat="1" ht="18.75" customHeight="1" x14ac:dyDescent="0.2">
      <c r="A92" s="1122"/>
      <c r="B92" s="1042"/>
      <c r="C92" s="179" t="s">
        <v>248</v>
      </c>
      <c r="D92" s="318" t="s">
        <v>186</v>
      </c>
      <c r="E92" s="199">
        <v>1</v>
      </c>
      <c r="F92" s="200">
        <v>60000</v>
      </c>
      <c r="G92" s="315">
        <v>1.05</v>
      </c>
      <c r="H92" s="315">
        <v>1.05</v>
      </c>
      <c r="I92" s="339">
        <f t="shared" si="10"/>
        <v>66200</v>
      </c>
      <c r="J92" s="356">
        <f t="shared" si="16"/>
        <v>794400</v>
      </c>
      <c r="K92" s="304"/>
      <c r="L92" s="311"/>
      <c r="M92" s="200"/>
      <c r="N92" s="315"/>
      <c r="O92" s="315"/>
      <c r="P92" s="315"/>
      <c r="Q92" s="350">
        <f t="shared" si="14"/>
        <v>0</v>
      </c>
      <c r="R92" s="356">
        <f t="shared" si="15"/>
        <v>0</v>
      </c>
      <c r="S92" s="317"/>
      <c r="T92" s="318"/>
      <c r="U92" s="318"/>
      <c r="V92" s="318"/>
      <c r="W92" s="318"/>
      <c r="X92" s="318"/>
      <c r="Y92" s="467"/>
      <c r="Z92" s="342">
        <f t="shared" si="6"/>
        <v>794400</v>
      </c>
    </row>
    <row r="93" spans="1:26" s="183" customFormat="1" ht="18.75" customHeight="1" x14ac:dyDescent="0.2">
      <c r="A93" s="1122"/>
      <c r="B93" s="1042"/>
      <c r="C93" s="208" t="s">
        <v>249</v>
      </c>
      <c r="D93" s="318" t="s">
        <v>186</v>
      </c>
      <c r="E93" s="199">
        <v>1</v>
      </c>
      <c r="F93" s="200">
        <v>60000</v>
      </c>
      <c r="G93" s="315">
        <v>1.05</v>
      </c>
      <c r="H93" s="315">
        <v>1.05</v>
      </c>
      <c r="I93" s="339">
        <f t="shared" si="10"/>
        <v>66200</v>
      </c>
      <c r="J93" s="356">
        <f t="shared" si="16"/>
        <v>794400</v>
      </c>
      <c r="K93" s="304"/>
      <c r="L93" s="311"/>
      <c r="M93" s="200"/>
      <c r="N93" s="315"/>
      <c r="O93" s="315"/>
      <c r="P93" s="315"/>
      <c r="Q93" s="350">
        <f t="shared" si="14"/>
        <v>0</v>
      </c>
      <c r="R93" s="356">
        <f t="shared" si="15"/>
        <v>0</v>
      </c>
      <c r="S93" s="317"/>
      <c r="T93" s="318"/>
      <c r="U93" s="318"/>
      <c r="V93" s="318"/>
      <c r="W93" s="318"/>
      <c r="X93" s="318"/>
      <c r="Y93" s="467"/>
      <c r="Z93" s="342">
        <f t="shared" si="6"/>
        <v>794400</v>
      </c>
    </row>
    <row r="94" spans="1:26" s="183" customFormat="1" ht="18.75" customHeight="1" x14ac:dyDescent="0.2">
      <c r="A94" s="182">
        <v>22</v>
      </c>
      <c r="B94" s="462" t="s">
        <v>35</v>
      </c>
      <c r="C94" s="179" t="s">
        <v>34</v>
      </c>
      <c r="D94" s="318"/>
      <c r="E94" s="199"/>
      <c r="F94" s="200"/>
      <c r="G94" s="315"/>
      <c r="H94" s="315"/>
      <c r="I94" s="339">
        <f t="shared" si="10"/>
        <v>0</v>
      </c>
      <c r="J94" s="356">
        <f t="shared" si="16"/>
        <v>0</v>
      </c>
      <c r="K94" s="304">
        <v>679</v>
      </c>
      <c r="L94" s="311">
        <v>1</v>
      </c>
      <c r="M94" s="200">
        <v>80000</v>
      </c>
      <c r="N94" s="315">
        <v>1.05</v>
      </c>
      <c r="O94" s="315">
        <v>1.05</v>
      </c>
      <c r="P94" s="315">
        <v>1.1000000000000001</v>
      </c>
      <c r="Q94" s="350">
        <f t="shared" si="14"/>
        <v>97000</v>
      </c>
      <c r="R94" s="356">
        <f t="shared" si="15"/>
        <v>1164000</v>
      </c>
      <c r="S94" s="317"/>
      <c r="T94" s="318"/>
      <c r="U94" s="318"/>
      <c r="V94" s="318"/>
      <c r="W94" s="318"/>
      <c r="X94" s="318"/>
      <c r="Y94" s="467"/>
      <c r="Z94" s="342">
        <f t="shared" si="6"/>
        <v>1164000</v>
      </c>
    </row>
    <row r="95" spans="1:26" s="183" customFormat="1" ht="18.75" customHeight="1" x14ac:dyDescent="0.2">
      <c r="A95" s="182">
        <v>23</v>
      </c>
      <c r="B95" s="462" t="s">
        <v>33</v>
      </c>
      <c r="C95" s="179" t="s">
        <v>33</v>
      </c>
      <c r="D95" s="318"/>
      <c r="E95" s="199"/>
      <c r="F95" s="200"/>
      <c r="G95" s="315"/>
      <c r="H95" s="315"/>
      <c r="I95" s="339">
        <f t="shared" si="10"/>
        <v>0</v>
      </c>
      <c r="J95" s="356">
        <f t="shared" si="16"/>
        <v>0</v>
      </c>
      <c r="K95" s="304">
        <v>416</v>
      </c>
      <c r="L95" s="311">
        <v>1</v>
      </c>
      <c r="M95" s="200">
        <v>70000</v>
      </c>
      <c r="N95" s="315">
        <v>1.05</v>
      </c>
      <c r="O95" s="315">
        <v>1.05</v>
      </c>
      <c r="P95" s="315">
        <v>1.1000000000000001</v>
      </c>
      <c r="Q95" s="350">
        <f t="shared" si="14"/>
        <v>84900</v>
      </c>
      <c r="R95" s="356">
        <f t="shared" si="15"/>
        <v>1018800</v>
      </c>
      <c r="S95" s="317"/>
      <c r="T95" s="318"/>
      <c r="U95" s="318"/>
      <c r="V95" s="318"/>
      <c r="W95" s="318"/>
      <c r="X95" s="318"/>
      <c r="Y95" s="467"/>
      <c r="Z95" s="342">
        <f t="shared" si="6"/>
        <v>1018800</v>
      </c>
    </row>
    <row r="96" spans="1:26" s="183" customFormat="1" ht="18.75" customHeight="1" x14ac:dyDescent="0.2">
      <c r="A96" s="1122">
        <v>24</v>
      </c>
      <c r="B96" s="1042" t="s">
        <v>32</v>
      </c>
      <c r="C96" s="179" t="s">
        <v>31</v>
      </c>
      <c r="D96" s="318"/>
      <c r="E96" s="199"/>
      <c r="F96" s="200"/>
      <c r="G96" s="315"/>
      <c r="H96" s="315"/>
      <c r="I96" s="339">
        <f t="shared" si="10"/>
        <v>0</v>
      </c>
      <c r="J96" s="356">
        <f t="shared" si="16"/>
        <v>0</v>
      </c>
      <c r="K96" s="304">
        <v>547</v>
      </c>
      <c r="L96" s="311">
        <v>1</v>
      </c>
      <c r="M96" s="200">
        <v>75000</v>
      </c>
      <c r="N96" s="315">
        <v>1.05</v>
      </c>
      <c r="O96" s="315">
        <v>1.05</v>
      </c>
      <c r="P96" s="315">
        <v>1</v>
      </c>
      <c r="Q96" s="350">
        <f t="shared" si="14"/>
        <v>82700</v>
      </c>
      <c r="R96" s="356">
        <f t="shared" si="15"/>
        <v>992400</v>
      </c>
      <c r="S96" s="317"/>
      <c r="T96" s="318"/>
      <c r="U96" s="318"/>
      <c r="V96" s="318"/>
      <c r="W96" s="318"/>
      <c r="X96" s="318"/>
      <c r="Y96" s="467"/>
      <c r="Z96" s="342">
        <f t="shared" si="6"/>
        <v>992400</v>
      </c>
    </row>
    <row r="97" spans="1:26" s="183" customFormat="1" ht="18.75" customHeight="1" x14ac:dyDescent="0.2">
      <c r="A97" s="1122"/>
      <c r="B97" s="1042"/>
      <c r="C97" s="179" t="s">
        <v>31</v>
      </c>
      <c r="D97" s="318" t="s">
        <v>185</v>
      </c>
      <c r="E97" s="199">
        <v>1</v>
      </c>
      <c r="F97" s="200">
        <v>65000</v>
      </c>
      <c r="G97" s="315">
        <v>1.05</v>
      </c>
      <c r="H97" s="315">
        <v>1.05</v>
      </c>
      <c r="I97" s="339">
        <f t="shared" si="10"/>
        <v>71700</v>
      </c>
      <c r="J97" s="356">
        <f t="shared" si="16"/>
        <v>860400</v>
      </c>
      <c r="K97" s="304"/>
      <c r="L97" s="311"/>
      <c r="M97" s="200"/>
      <c r="N97" s="315"/>
      <c r="O97" s="315"/>
      <c r="P97" s="315"/>
      <c r="Q97" s="350">
        <f t="shared" si="14"/>
        <v>0</v>
      </c>
      <c r="R97" s="356">
        <f t="shared" si="15"/>
        <v>0</v>
      </c>
      <c r="S97" s="317"/>
      <c r="T97" s="318"/>
      <c r="U97" s="318"/>
      <c r="V97" s="318"/>
      <c r="W97" s="318"/>
      <c r="X97" s="318"/>
      <c r="Y97" s="467"/>
      <c r="Z97" s="342">
        <f t="shared" si="6"/>
        <v>860400</v>
      </c>
    </row>
    <row r="98" spans="1:26" s="183" customFormat="1" ht="18.75" customHeight="1" x14ac:dyDescent="0.2">
      <c r="A98" s="1122"/>
      <c r="B98" s="1042"/>
      <c r="C98" s="179" t="s">
        <v>30</v>
      </c>
      <c r="D98" s="318" t="s">
        <v>185</v>
      </c>
      <c r="E98" s="199">
        <v>1</v>
      </c>
      <c r="F98" s="200">
        <v>65000</v>
      </c>
      <c r="G98" s="315">
        <v>1.05</v>
      </c>
      <c r="H98" s="315">
        <v>1.05</v>
      </c>
      <c r="I98" s="339">
        <f t="shared" si="10"/>
        <v>71700</v>
      </c>
      <c r="J98" s="356">
        <f t="shared" si="16"/>
        <v>860400</v>
      </c>
      <c r="K98" s="304"/>
      <c r="L98" s="311"/>
      <c r="M98" s="200"/>
      <c r="N98" s="315"/>
      <c r="O98" s="315"/>
      <c r="P98" s="315"/>
      <c r="Q98" s="350">
        <f t="shared" si="14"/>
        <v>0</v>
      </c>
      <c r="R98" s="356">
        <f t="shared" si="15"/>
        <v>0</v>
      </c>
      <c r="S98" s="317"/>
      <c r="T98" s="318"/>
      <c r="U98" s="318"/>
      <c r="V98" s="318"/>
      <c r="W98" s="318"/>
      <c r="X98" s="318"/>
      <c r="Y98" s="467"/>
      <c r="Z98" s="342">
        <f t="shared" si="6"/>
        <v>860400</v>
      </c>
    </row>
    <row r="99" spans="1:26" s="183" customFormat="1" ht="18.75" customHeight="1" x14ac:dyDescent="0.2">
      <c r="A99" s="1122">
        <v>25</v>
      </c>
      <c r="B99" s="1073" t="s">
        <v>29</v>
      </c>
      <c r="C99" s="179" t="s">
        <v>28</v>
      </c>
      <c r="D99" s="318"/>
      <c r="E99" s="199"/>
      <c r="F99" s="200"/>
      <c r="G99" s="315"/>
      <c r="H99" s="315"/>
      <c r="I99" s="339">
        <f t="shared" si="10"/>
        <v>0</v>
      </c>
      <c r="J99" s="356">
        <f t="shared" si="16"/>
        <v>0</v>
      </c>
      <c r="K99" s="304">
        <v>633</v>
      </c>
      <c r="L99" s="311">
        <v>1</v>
      </c>
      <c r="M99" s="200">
        <v>80000</v>
      </c>
      <c r="N99" s="315">
        <v>1.05</v>
      </c>
      <c r="O99" s="315">
        <v>1.05</v>
      </c>
      <c r="P99" s="315">
        <v>1.1000000000000001</v>
      </c>
      <c r="Q99" s="350">
        <f t="shared" si="14"/>
        <v>97000</v>
      </c>
      <c r="R99" s="356">
        <f t="shared" si="15"/>
        <v>1164000</v>
      </c>
      <c r="S99" s="317"/>
      <c r="T99" s="318"/>
      <c r="U99" s="318"/>
      <c r="V99" s="318"/>
      <c r="W99" s="318"/>
      <c r="X99" s="318"/>
      <c r="Y99" s="467"/>
      <c r="Z99" s="342">
        <f t="shared" si="6"/>
        <v>1164000</v>
      </c>
    </row>
    <row r="100" spans="1:26" s="183" customFormat="1" ht="18.75" customHeight="1" x14ac:dyDescent="0.2">
      <c r="A100" s="1122"/>
      <c r="B100" s="1077"/>
      <c r="C100" s="179" t="s">
        <v>260</v>
      </c>
      <c r="D100" s="318" t="s">
        <v>185</v>
      </c>
      <c r="E100" s="199">
        <v>1</v>
      </c>
      <c r="F100" s="200">
        <v>65000</v>
      </c>
      <c r="G100" s="315">
        <v>1.05</v>
      </c>
      <c r="H100" s="315">
        <v>1.05</v>
      </c>
      <c r="I100" s="339">
        <f t="shared" ref="I100" si="17">ROUND(F100*G100*E100*H100,-2)</f>
        <v>71700</v>
      </c>
      <c r="J100" s="356">
        <f t="shared" si="16"/>
        <v>860400</v>
      </c>
      <c r="K100" s="304"/>
      <c r="L100" s="311"/>
      <c r="M100" s="200"/>
      <c r="N100" s="315"/>
      <c r="O100" s="315"/>
      <c r="P100" s="315"/>
      <c r="Q100" s="350">
        <f t="shared" ref="Q100" si="18">ROUND(M100*N100*P100*L100*O100,-2)</f>
        <v>0</v>
      </c>
      <c r="R100" s="356">
        <f t="shared" ref="R100" si="19">Q100*$R$5</f>
        <v>0</v>
      </c>
      <c r="S100" s="317"/>
      <c r="T100" s="318"/>
      <c r="U100" s="318"/>
      <c r="V100" s="318"/>
      <c r="W100" s="318"/>
      <c r="X100" s="318"/>
      <c r="Y100" s="467"/>
      <c r="Z100" s="342">
        <f t="shared" si="6"/>
        <v>860400</v>
      </c>
    </row>
    <row r="101" spans="1:26" s="183" customFormat="1" ht="18.75" customHeight="1" x14ac:dyDescent="0.2">
      <c r="A101" s="1122"/>
      <c r="B101" s="1077"/>
      <c r="C101" s="179" t="s">
        <v>251</v>
      </c>
      <c r="D101" s="318" t="s">
        <v>185</v>
      </c>
      <c r="E101" s="199">
        <v>1</v>
      </c>
      <c r="F101" s="200">
        <v>65000</v>
      </c>
      <c r="G101" s="315">
        <v>1.05</v>
      </c>
      <c r="H101" s="315">
        <v>1.05</v>
      </c>
      <c r="I101" s="339">
        <f t="shared" si="10"/>
        <v>71700</v>
      </c>
      <c r="J101" s="356">
        <f t="shared" si="16"/>
        <v>860400</v>
      </c>
      <c r="K101" s="304"/>
      <c r="L101" s="311"/>
      <c r="M101" s="200"/>
      <c r="N101" s="315"/>
      <c r="O101" s="315"/>
      <c r="P101" s="315"/>
      <c r="Q101" s="350">
        <f t="shared" si="14"/>
        <v>0</v>
      </c>
      <c r="R101" s="356">
        <f t="shared" si="15"/>
        <v>0</v>
      </c>
      <c r="S101" s="317"/>
      <c r="T101" s="318"/>
      <c r="U101" s="318"/>
      <c r="V101" s="318"/>
      <c r="W101" s="318"/>
      <c r="X101" s="318"/>
      <c r="Y101" s="467"/>
      <c r="Z101" s="342">
        <f t="shared" si="6"/>
        <v>860400</v>
      </c>
    </row>
    <row r="102" spans="1:26" s="183" customFormat="1" ht="18.75" customHeight="1" x14ac:dyDescent="0.2">
      <c r="A102" s="1122">
        <v>26</v>
      </c>
      <c r="B102" s="1042" t="s">
        <v>26</v>
      </c>
      <c r="C102" s="179" t="s">
        <v>25</v>
      </c>
      <c r="D102" s="318"/>
      <c r="E102" s="199"/>
      <c r="F102" s="200"/>
      <c r="G102" s="315"/>
      <c r="H102" s="315"/>
      <c r="I102" s="339">
        <f t="shared" si="10"/>
        <v>0</v>
      </c>
      <c r="J102" s="356">
        <f t="shared" si="16"/>
        <v>0</v>
      </c>
      <c r="K102" s="304">
        <v>144</v>
      </c>
      <c r="L102" s="311">
        <v>1</v>
      </c>
      <c r="M102" s="200">
        <v>60000</v>
      </c>
      <c r="N102" s="315">
        <v>1.05</v>
      </c>
      <c r="O102" s="315">
        <v>1.05</v>
      </c>
      <c r="P102" s="315">
        <v>1</v>
      </c>
      <c r="Q102" s="350">
        <f t="shared" si="14"/>
        <v>66200</v>
      </c>
      <c r="R102" s="356">
        <f t="shared" si="15"/>
        <v>794400</v>
      </c>
      <c r="S102" s="317"/>
      <c r="T102" s="318"/>
      <c r="U102" s="318"/>
      <c r="V102" s="318"/>
      <c r="W102" s="318"/>
      <c r="X102" s="318"/>
      <c r="Y102" s="467"/>
      <c r="Z102" s="342">
        <f t="shared" si="6"/>
        <v>794400</v>
      </c>
    </row>
    <row r="103" spans="1:26" s="183" customFormat="1" ht="18.75" customHeight="1" x14ac:dyDescent="0.2">
      <c r="A103" s="1122"/>
      <c r="B103" s="1042"/>
      <c r="C103" s="179" t="s">
        <v>24</v>
      </c>
      <c r="D103" s="318"/>
      <c r="E103" s="199"/>
      <c r="F103" s="200"/>
      <c r="G103" s="315"/>
      <c r="H103" s="315"/>
      <c r="I103" s="339">
        <f t="shared" si="10"/>
        <v>0</v>
      </c>
      <c r="J103" s="356">
        <f t="shared" si="16"/>
        <v>0</v>
      </c>
      <c r="K103" s="304">
        <v>106</v>
      </c>
      <c r="L103" s="311">
        <v>1</v>
      </c>
      <c r="M103" s="200">
        <v>60000</v>
      </c>
      <c r="N103" s="315">
        <v>1.05</v>
      </c>
      <c r="O103" s="315">
        <v>1.05</v>
      </c>
      <c r="P103" s="315">
        <v>1</v>
      </c>
      <c r="Q103" s="350">
        <f t="shared" si="14"/>
        <v>66200</v>
      </c>
      <c r="R103" s="356">
        <f t="shared" si="15"/>
        <v>794400</v>
      </c>
      <c r="S103" s="317"/>
      <c r="T103" s="318"/>
      <c r="U103" s="318"/>
      <c r="V103" s="318"/>
      <c r="W103" s="318"/>
      <c r="X103" s="318"/>
      <c r="Y103" s="467"/>
      <c r="Z103" s="342">
        <f t="shared" si="6"/>
        <v>794400</v>
      </c>
    </row>
    <row r="104" spans="1:26" s="183" customFormat="1" ht="18.75" customHeight="1" x14ac:dyDescent="0.2">
      <c r="A104" s="182">
        <v>27</v>
      </c>
      <c r="B104" s="462" t="s">
        <v>23</v>
      </c>
      <c r="C104" s="179"/>
      <c r="D104" s="318"/>
      <c r="E104" s="199"/>
      <c r="F104" s="200"/>
      <c r="G104" s="315"/>
      <c r="H104" s="315"/>
      <c r="I104" s="339">
        <f t="shared" si="10"/>
        <v>0</v>
      </c>
      <c r="J104" s="356">
        <f t="shared" si="16"/>
        <v>0</v>
      </c>
      <c r="K104" s="304"/>
      <c r="L104" s="311"/>
      <c r="M104" s="200"/>
      <c r="N104" s="315"/>
      <c r="O104" s="315"/>
      <c r="P104" s="315"/>
      <c r="Q104" s="350">
        <f t="shared" si="14"/>
        <v>0</v>
      </c>
      <c r="R104" s="356">
        <f t="shared" si="15"/>
        <v>0</v>
      </c>
      <c r="S104" s="317"/>
      <c r="T104" s="318"/>
      <c r="U104" s="318"/>
      <c r="V104" s="318"/>
      <c r="W104" s="318"/>
      <c r="X104" s="318"/>
      <c r="Y104" s="467"/>
      <c r="Z104" s="342">
        <f t="shared" si="6"/>
        <v>0</v>
      </c>
    </row>
    <row r="105" spans="1:26" s="183" customFormat="1" ht="18.75" customHeight="1" x14ac:dyDescent="0.2">
      <c r="A105" s="1116">
        <v>28</v>
      </c>
      <c r="B105" s="1073" t="s">
        <v>252</v>
      </c>
      <c r="C105" s="179" t="s">
        <v>193</v>
      </c>
      <c r="D105" s="318" t="s">
        <v>185</v>
      </c>
      <c r="E105" s="199">
        <v>1</v>
      </c>
      <c r="F105" s="200">
        <v>65000</v>
      </c>
      <c r="G105" s="315">
        <v>1.05</v>
      </c>
      <c r="H105" s="315">
        <v>1.05</v>
      </c>
      <c r="I105" s="339">
        <f t="shared" si="10"/>
        <v>71700</v>
      </c>
      <c r="J105" s="356">
        <f t="shared" si="16"/>
        <v>860400</v>
      </c>
      <c r="K105" s="304"/>
      <c r="L105" s="311"/>
      <c r="M105" s="200"/>
      <c r="N105" s="315"/>
      <c r="O105" s="315"/>
      <c r="P105" s="315"/>
      <c r="Q105" s="350">
        <f t="shared" si="14"/>
        <v>0</v>
      </c>
      <c r="R105" s="356">
        <f t="shared" si="15"/>
        <v>0</v>
      </c>
      <c r="S105" s="317"/>
      <c r="T105" s="318"/>
      <c r="U105" s="318"/>
      <c r="V105" s="318"/>
      <c r="W105" s="318"/>
      <c r="X105" s="318"/>
      <c r="Y105" s="467"/>
      <c r="Z105" s="342">
        <f t="shared" si="6"/>
        <v>860400</v>
      </c>
    </row>
    <row r="106" spans="1:26" s="183" customFormat="1" ht="18.75" customHeight="1" x14ac:dyDescent="0.2">
      <c r="A106" s="1130"/>
      <c r="B106" s="1077"/>
      <c r="C106" s="179" t="s">
        <v>194</v>
      </c>
      <c r="D106" s="318" t="s">
        <v>185</v>
      </c>
      <c r="E106" s="199">
        <v>1</v>
      </c>
      <c r="F106" s="200">
        <v>65000</v>
      </c>
      <c r="G106" s="315">
        <v>1.05</v>
      </c>
      <c r="H106" s="315">
        <v>1.05</v>
      </c>
      <c r="I106" s="339">
        <f t="shared" si="10"/>
        <v>71700</v>
      </c>
      <c r="J106" s="356">
        <f t="shared" si="16"/>
        <v>860400</v>
      </c>
      <c r="K106" s="304"/>
      <c r="L106" s="311"/>
      <c r="M106" s="200"/>
      <c r="N106" s="315"/>
      <c r="O106" s="315"/>
      <c r="P106" s="315"/>
      <c r="Q106" s="350">
        <f t="shared" si="14"/>
        <v>0</v>
      </c>
      <c r="R106" s="356">
        <f t="shared" si="15"/>
        <v>0</v>
      </c>
      <c r="S106" s="317"/>
      <c r="T106" s="318"/>
      <c r="U106" s="318"/>
      <c r="V106" s="318"/>
      <c r="W106" s="318"/>
      <c r="X106" s="318"/>
      <c r="Y106" s="467"/>
      <c r="Z106" s="342">
        <f t="shared" si="6"/>
        <v>860400</v>
      </c>
    </row>
    <row r="107" spans="1:26" s="183" customFormat="1" ht="18.75" customHeight="1" x14ac:dyDescent="0.2">
      <c r="A107" s="1130"/>
      <c r="B107" s="1077"/>
      <c r="C107" s="179" t="s">
        <v>244</v>
      </c>
      <c r="D107" s="318" t="s">
        <v>185</v>
      </c>
      <c r="E107" s="199">
        <v>1</v>
      </c>
      <c r="F107" s="200">
        <v>65000</v>
      </c>
      <c r="G107" s="315">
        <v>1.05</v>
      </c>
      <c r="H107" s="315">
        <v>1.05</v>
      </c>
      <c r="I107" s="339">
        <f t="shared" si="10"/>
        <v>71700</v>
      </c>
      <c r="J107" s="356">
        <f t="shared" si="16"/>
        <v>860400</v>
      </c>
      <c r="K107" s="304"/>
      <c r="L107" s="311"/>
      <c r="M107" s="200"/>
      <c r="N107" s="315"/>
      <c r="O107" s="315"/>
      <c r="P107" s="315"/>
      <c r="Q107" s="350">
        <f t="shared" si="14"/>
        <v>0</v>
      </c>
      <c r="R107" s="356">
        <f t="shared" si="15"/>
        <v>0</v>
      </c>
      <c r="S107" s="317"/>
      <c r="T107" s="318"/>
      <c r="U107" s="318"/>
      <c r="V107" s="318"/>
      <c r="W107" s="318"/>
      <c r="X107" s="318"/>
      <c r="Y107" s="467"/>
      <c r="Z107" s="342">
        <f t="shared" si="6"/>
        <v>860400</v>
      </c>
    </row>
    <row r="108" spans="1:26" s="183" customFormat="1" ht="18.75" customHeight="1" x14ac:dyDescent="0.2">
      <c r="A108" s="1130"/>
      <c r="B108" s="1077"/>
      <c r="C108" s="179" t="s">
        <v>245</v>
      </c>
      <c r="D108" s="318" t="s">
        <v>185</v>
      </c>
      <c r="E108" s="199">
        <v>1</v>
      </c>
      <c r="F108" s="200">
        <v>65000</v>
      </c>
      <c r="G108" s="315">
        <v>1.05</v>
      </c>
      <c r="H108" s="315">
        <v>1.05</v>
      </c>
      <c r="I108" s="339">
        <f t="shared" si="10"/>
        <v>71700</v>
      </c>
      <c r="J108" s="356">
        <f t="shared" si="16"/>
        <v>860400</v>
      </c>
      <c r="K108" s="304"/>
      <c r="L108" s="311"/>
      <c r="M108" s="200"/>
      <c r="N108" s="315"/>
      <c r="O108" s="315"/>
      <c r="P108" s="315"/>
      <c r="Q108" s="350">
        <f t="shared" si="14"/>
        <v>0</v>
      </c>
      <c r="R108" s="356">
        <f t="shared" si="15"/>
        <v>0</v>
      </c>
      <c r="S108" s="317"/>
      <c r="T108" s="318"/>
      <c r="U108" s="318"/>
      <c r="V108" s="318"/>
      <c r="W108" s="318"/>
      <c r="X108" s="318"/>
      <c r="Y108" s="467"/>
      <c r="Z108" s="342">
        <f t="shared" si="6"/>
        <v>860400</v>
      </c>
    </row>
    <row r="109" spans="1:26" s="183" customFormat="1" ht="18.75" customHeight="1" x14ac:dyDescent="0.2">
      <c r="A109" s="1130"/>
      <c r="B109" s="1077"/>
      <c r="C109" s="179" t="s">
        <v>192</v>
      </c>
      <c r="D109" s="318"/>
      <c r="E109" s="199"/>
      <c r="F109" s="200"/>
      <c r="G109" s="315"/>
      <c r="H109" s="315"/>
      <c r="I109" s="339">
        <f t="shared" si="10"/>
        <v>0</v>
      </c>
      <c r="J109" s="356">
        <f t="shared" si="16"/>
        <v>0</v>
      </c>
      <c r="K109" s="304">
        <v>801</v>
      </c>
      <c r="L109" s="311">
        <v>1</v>
      </c>
      <c r="M109" s="200">
        <v>80000</v>
      </c>
      <c r="N109" s="315">
        <v>1.05</v>
      </c>
      <c r="O109" s="315">
        <v>1.05</v>
      </c>
      <c r="P109" s="315">
        <v>1.1000000000000001</v>
      </c>
      <c r="Q109" s="350">
        <f t="shared" si="14"/>
        <v>97000</v>
      </c>
      <c r="R109" s="356">
        <f t="shared" si="15"/>
        <v>1164000</v>
      </c>
      <c r="S109" s="317"/>
      <c r="T109" s="318"/>
      <c r="U109" s="318"/>
      <c r="V109" s="318"/>
      <c r="W109" s="318"/>
      <c r="X109" s="318"/>
      <c r="Y109" s="467"/>
      <c r="Z109" s="342">
        <f t="shared" si="6"/>
        <v>1164000</v>
      </c>
    </row>
    <row r="110" spans="1:26" s="183" customFormat="1" ht="18.75" customHeight="1" x14ac:dyDescent="0.2">
      <c r="A110" s="1117"/>
      <c r="B110" s="1074"/>
      <c r="C110" s="179" t="s">
        <v>242</v>
      </c>
      <c r="D110" s="318"/>
      <c r="E110" s="199"/>
      <c r="F110" s="200"/>
      <c r="G110" s="315"/>
      <c r="H110" s="315"/>
      <c r="I110" s="339">
        <f t="shared" si="10"/>
        <v>0</v>
      </c>
      <c r="J110" s="356">
        <f t="shared" ref="J110:J122" si="20">I110*$J$5</f>
        <v>0</v>
      </c>
      <c r="K110" s="304">
        <v>420</v>
      </c>
      <c r="L110" s="311">
        <v>1</v>
      </c>
      <c r="M110" s="200">
        <v>70000</v>
      </c>
      <c r="N110" s="315">
        <v>1.05</v>
      </c>
      <c r="O110" s="315">
        <v>1.05</v>
      </c>
      <c r="P110" s="315">
        <v>1.1000000000000001</v>
      </c>
      <c r="Q110" s="350">
        <f t="shared" si="14"/>
        <v>84900</v>
      </c>
      <c r="R110" s="356">
        <f t="shared" si="15"/>
        <v>1018800</v>
      </c>
      <c r="S110" s="317"/>
      <c r="T110" s="318"/>
      <c r="U110" s="318"/>
      <c r="V110" s="318"/>
      <c r="W110" s="318"/>
      <c r="X110" s="318"/>
      <c r="Y110" s="467"/>
      <c r="Z110" s="342">
        <f t="shared" si="6"/>
        <v>1018800</v>
      </c>
    </row>
    <row r="111" spans="1:26" s="183" customFormat="1" ht="18.75" customHeight="1" x14ac:dyDescent="0.2">
      <c r="A111" s="1126">
        <v>29</v>
      </c>
      <c r="B111" s="1042" t="s">
        <v>253</v>
      </c>
      <c r="C111" s="179" t="s">
        <v>189</v>
      </c>
      <c r="D111" s="318" t="s">
        <v>185</v>
      </c>
      <c r="E111" s="199">
        <v>1</v>
      </c>
      <c r="F111" s="200">
        <v>65000</v>
      </c>
      <c r="G111" s="315">
        <v>1.05</v>
      </c>
      <c r="H111" s="315">
        <v>1.05</v>
      </c>
      <c r="I111" s="339">
        <f t="shared" si="10"/>
        <v>71700</v>
      </c>
      <c r="J111" s="356">
        <f t="shared" si="20"/>
        <v>860400</v>
      </c>
      <c r="K111" s="304"/>
      <c r="L111" s="311"/>
      <c r="M111" s="200"/>
      <c r="N111" s="315"/>
      <c r="O111" s="315"/>
      <c r="P111" s="315"/>
      <c r="Q111" s="350">
        <f t="shared" si="14"/>
        <v>0</v>
      </c>
      <c r="R111" s="356">
        <f t="shared" si="15"/>
        <v>0</v>
      </c>
      <c r="S111" s="317"/>
      <c r="T111" s="318"/>
      <c r="U111" s="318"/>
      <c r="V111" s="318"/>
      <c r="W111" s="318"/>
      <c r="X111" s="318"/>
      <c r="Y111" s="467"/>
      <c r="Z111" s="342">
        <f t="shared" si="6"/>
        <v>860400</v>
      </c>
    </row>
    <row r="112" spans="1:26" s="183" customFormat="1" ht="18.75" customHeight="1" x14ac:dyDescent="0.2">
      <c r="A112" s="1127"/>
      <c r="B112" s="1042"/>
      <c r="C112" s="179" t="s">
        <v>190</v>
      </c>
      <c r="D112" s="318" t="s">
        <v>185</v>
      </c>
      <c r="E112" s="199">
        <v>1</v>
      </c>
      <c r="F112" s="200">
        <v>65000</v>
      </c>
      <c r="G112" s="315">
        <v>1.05</v>
      </c>
      <c r="H112" s="315">
        <v>1.05</v>
      </c>
      <c r="I112" s="339">
        <f t="shared" si="10"/>
        <v>71700</v>
      </c>
      <c r="J112" s="356">
        <f t="shared" si="20"/>
        <v>860400</v>
      </c>
      <c r="K112" s="304"/>
      <c r="L112" s="311"/>
      <c r="M112" s="200"/>
      <c r="N112" s="315"/>
      <c r="O112" s="315"/>
      <c r="P112" s="315"/>
      <c r="Q112" s="350">
        <f t="shared" si="14"/>
        <v>0</v>
      </c>
      <c r="R112" s="356">
        <f t="shared" si="15"/>
        <v>0</v>
      </c>
      <c r="S112" s="317"/>
      <c r="T112" s="318"/>
      <c r="U112" s="318"/>
      <c r="V112" s="318"/>
      <c r="W112" s="318"/>
      <c r="X112" s="318"/>
      <c r="Y112" s="467"/>
      <c r="Z112" s="342">
        <f t="shared" si="6"/>
        <v>860400</v>
      </c>
    </row>
    <row r="113" spans="1:30" s="183" customFormat="1" ht="18.75" customHeight="1" x14ac:dyDescent="0.2">
      <c r="A113" s="1127"/>
      <c r="B113" s="1042"/>
      <c r="C113" s="179" t="s">
        <v>247</v>
      </c>
      <c r="D113" s="318" t="s">
        <v>185</v>
      </c>
      <c r="E113" s="199">
        <v>1</v>
      </c>
      <c r="F113" s="200">
        <v>65000</v>
      </c>
      <c r="G113" s="315">
        <v>1.05</v>
      </c>
      <c r="H113" s="315">
        <v>1.05</v>
      </c>
      <c r="I113" s="339">
        <f t="shared" si="10"/>
        <v>71700</v>
      </c>
      <c r="J113" s="356">
        <f t="shared" si="20"/>
        <v>860400</v>
      </c>
      <c r="K113" s="304"/>
      <c r="L113" s="311"/>
      <c r="M113" s="200"/>
      <c r="N113" s="315"/>
      <c r="O113" s="315"/>
      <c r="P113" s="315"/>
      <c r="Q113" s="350">
        <f t="shared" si="14"/>
        <v>0</v>
      </c>
      <c r="R113" s="356">
        <f t="shared" si="15"/>
        <v>0</v>
      </c>
      <c r="S113" s="317"/>
      <c r="T113" s="318"/>
      <c r="U113" s="318"/>
      <c r="V113" s="318"/>
      <c r="W113" s="318"/>
      <c r="X113" s="318"/>
      <c r="Y113" s="467"/>
      <c r="Z113" s="342">
        <f t="shared" ref="Z113:Z122" si="21">J113+R113+Y113</f>
        <v>860400</v>
      </c>
    </row>
    <row r="114" spans="1:30" s="183" customFormat="1" ht="18.75" customHeight="1" x14ac:dyDescent="0.2">
      <c r="A114" s="1127"/>
      <c r="B114" s="1042"/>
      <c r="C114" s="179" t="s">
        <v>246</v>
      </c>
      <c r="D114" s="318" t="s">
        <v>186</v>
      </c>
      <c r="E114" s="199">
        <v>1</v>
      </c>
      <c r="F114" s="200">
        <v>60000</v>
      </c>
      <c r="G114" s="315">
        <v>1.05</v>
      </c>
      <c r="H114" s="315">
        <v>1.05</v>
      </c>
      <c r="I114" s="339">
        <f t="shared" si="10"/>
        <v>66200</v>
      </c>
      <c r="J114" s="356">
        <f t="shared" si="20"/>
        <v>794400</v>
      </c>
      <c r="K114" s="304"/>
      <c r="L114" s="311"/>
      <c r="M114" s="200"/>
      <c r="N114" s="315"/>
      <c r="O114" s="315"/>
      <c r="P114" s="315"/>
      <c r="Q114" s="350">
        <f t="shared" si="14"/>
        <v>0</v>
      </c>
      <c r="R114" s="356">
        <f t="shared" si="15"/>
        <v>0</v>
      </c>
      <c r="S114" s="317"/>
      <c r="T114" s="318"/>
      <c r="U114" s="318"/>
      <c r="V114" s="318"/>
      <c r="W114" s="318"/>
      <c r="X114" s="318"/>
      <c r="Y114" s="467"/>
      <c r="Z114" s="342">
        <f t="shared" si="21"/>
        <v>794400</v>
      </c>
    </row>
    <row r="115" spans="1:30" s="183" customFormat="1" ht="18.75" customHeight="1" x14ac:dyDescent="0.2">
      <c r="A115" s="1127"/>
      <c r="B115" s="1042"/>
      <c r="C115" s="502" t="s">
        <v>265</v>
      </c>
      <c r="D115" s="318" t="s">
        <v>185</v>
      </c>
      <c r="E115" s="199">
        <v>1</v>
      </c>
      <c r="F115" s="200">
        <v>65000</v>
      </c>
      <c r="G115" s="315">
        <v>1.05</v>
      </c>
      <c r="H115" s="315">
        <v>1.05</v>
      </c>
      <c r="I115" s="339">
        <f t="shared" si="10"/>
        <v>71700</v>
      </c>
      <c r="J115" s="356">
        <f t="shared" si="20"/>
        <v>860400</v>
      </c>
      <c r="K115" s="304"/>
      <c r="L115" s="311"/>
      <c r="M115" s="200"/>
      <c r="N115" s="315"/>
      <c r="O115" s="315"/>
      <c r="P115" s="315"/>
      <c r="Q115" s="350"/>
      <c r="R115" s="356">
        <f t="shared" si="15"/>
        <v>0</v>
      </c>
      <c r="S115" s="317"/>
      <c r="T115" s="318"/>
      <c r="U115" s="318"/>
      <c r="V115" s="318"/>
      <c r="W115" s="318"/>
      <c r="X115" s="318"/>
      <c r="Y115" s="467"/>
      <c r="Z115" s="342">
        <f t="shared" si="21"/>
        <v>860400</v>
      </c>
    </row>
    <row r="116" spans="1:30" s="183" customFormat="1" ht="18.75" customHeight="1" x14ac:dyDescent="0.2">
      <c r="A116" s="1127"/>
      <c r="B116" s="1042"/>
      <c r="C116" s="179" t="s">
        <v>184</v>
      </c>
      <c r="D116" s="318"/>
      <c r="E116" s="199"/>
      <c r="F116" s="200"/>
      <c r="G116" s="315"/>
      <c r="H116" s="315"/>
      <c r="I116" s="339">
        <f t="shared" si="10"/>
        <v>0</v>
      </c>
      <c r="J116" s="356">
        <f t="shared" si="20"/>
        <v>0</v>
      </c>
      <c r="K116" s="304">
        <v>1743</v>
      </c>
      <c r="L116" s="311">
        <v>1</v>
      </c>
      <c r="M116" s="200">
        <v>85000</v>
      </c>
      <c r="N116" s="315">
        <v>1.05</v>
      </c>
      <c r="O116" s="315">
        <v>1.05</v>
      </c>
      <c r="P116" s="315">
        <v>1.1000000000000001</v>
      </c>
      <c r="Q116" s="350">
        <f t="shared" si="14"/>
        <v>103100</v>
      </c>
      <c r="R116" s="356">
        <f t="shared" si="15"/>
        <v>1237200</v>
      </c>
      <c r="S116" s="317"/>
      <c r="T116" s="318"/>
      <c r="U116" s="318"/>
      <c r="V116" s="318"/>
      <c r="W116" s="318"/>
      <c r="X116" s="318"/>
      <c r="Y116" s="467"/>
      <c r="Z116" s="342">
        <f t="shared" si="21"/>
        <v>1237200</v>
      </c>
    </row>
    <row r="117" spans="1:30" s="183" customFormat="1" ht="18.75" customHeight="1" x14ac:dyDescent="0.2">
      <c r="A117" s="1127"/>
      <c r="B117" s="1042"/>
      <c r="C117" s="179" t="s">
        <v>184</v>
      </c>
      <c r="D117" s="318"/>
      <c r="E117" s="199"/>
      <c r="F117" s="200"/>
      <c r="G117" s="315"/>
      <c r="H117" s="315"/>
      <c r="I117" s="339">
        <f t="shared" si="10"/>
        <v>0</v>
      </c>
      <c r="J117" s="356">
        <f t="shared" si="20"/>
        <v>0</v>
      </c>
      <c r="K117" s="304">
        <v>1743</v>
      </c>
      <c r="L117" s="311">
        <v>0.5</v>
      </c>
      <c r="M117" s="200">
        <v>85000</v>
      </c>
      <c r="N117" s="315">
        <v>1.05</v>
      </c>
      <c r="O117" s="315">
        <v>1.05</v>
      </c>
      <c r="P117" s="315">
        <v>1</v>
      </c>
      <c r="Q117" s="350">
        <f t="shared" si="14"/>
        <v>46900</v>
      </c>
      <c r="R117" s="356">
        <f t="shared" si="15"/>
        <v>562800</v>
      </c>
      <c r="S117" s="317"/>
      <c r="T117" s="318"/>
      <c r="U117" s="318"/>
      <c r="V117" s="318"/>
      <c r="W117" s="318"/>
      <c r="X117" s="318"/>
      <c r="Y117" s="467"/>
      <c r="Z117" s="342">
        <f t="shared" si="21"/>
        <v>562800</v>
      </c>
    </row>
    <row r="118" spans="1:30" s="183" customFormat="1" ht="18.75" customHeight="1" x14ac:dyDescent="0.2">
      <c r="A118" s="1065">
        <v>30</v>
      </c>
      <c r="B118" s="1073" t="s">
        <v>176</v>
      </c>
      <c r="C118" s="179" t="s">
        <v>258</v>
      </c>
      <c r="D118" s="318" t="s">
        <v>185</v>
      </c>
      <c r="E118" s="199">
        <v>1</v>
      </c>
      <c r="F118" s="200">
        <v>60000</v>
      </c>
      <c r="G118" s="315">
        <v>1.05</v>
      </c>
      <c r="H118" s="315">
        <v>1.05</v>
      </c>
      <c r="I118" s="339">
        <f t="shared" ref="I118" si="22">ROUND(F118*G118*E118*H118,-2)</f>
        <v>66200</v>
      </c>
      <c r="J118" s="356">
        <f t="shared" si="20"/>
        <v>794400</v>
      </c>
      <c r="K118" s="304"/>
      <c r="L118" s="311"/>
      <c r="M118" s="200"/>
      <c r="N118" s="315"/>
      <c r="O118" s="315"/>
      <c r="P118" s="315"/>
      <c r="Q118" s="350">
        <f t="shared" ref="Q118" si="23">ROUND(M118*N118*P118*L118*O118,-2)</f>
        <v>0</v>
      </c>
      <c r="R118" s="356">
        <f t="shared" ref="R118" si="24">Q118*$R$5</f>
        <v>0</v>
      </c>
      <c r="S118" s="317"/>
      <c r="T118" s="318"/>
      <c r="U118" s="318"/>
      <c r="V118" s="318"/>
      <c r="W118" s="318"/>
      <c r="X118" s="318"/>
      <c r="Y118" s="467"/>
      <c r="Z118" s="342">
        <f t="shared" si="21"/>
        <v>794400</v>
      </c>
    </row>
    <row r="119" spans="1:30" s="183" customFormat="1" ht="18.75" customHeight="1" x14ac:dyDescent="0.2">
      <c r="A119" s="1067"/>
      <c r="B119" s="1077"/>
      <c r="C119" s="179" t="s">
        <v>259</v>
      </c>
      <c r="D119" s="318"/>
      <c r="E119" s="199"/>
      <c r="F119" s="200"/>
      <c r="G119" s="315"/>
      <c r="H119" s="315"/>
      <c r="I119" s="339">
        <f t="shared" si="10"/>
        <v>0</v>
      </c>
      <c r="J119" s="356">
        <f t="shared" si="20"/>
        <v>0</v>
      </c>
      <c r="K119" s="304">
        <v>1637</v>
      </c>
      <c r="L119" s="311">
        <v>1</v>
      </c>
      <c r="M119" s="200">
        <v>85000</v>
      </c>
      <c r="N119" s="315">
        <v>1.05</v>
      </c>
      <c r="O119" s="315">
        <v>1.05</v>
      </c>
      <c r="P119" s="315">
        <v>1.1000000000000001</v>
      </c>
      <c r="Q119" s="350">
        <f t="shared" si="14"/>
        <v>103100</v>
      </c>
      <c r="R119" s="356">
        <f t="shared" si="15"/>
        <v>1237200</v>
      </c>
      <c r="S119" s="317"/>
      <c r="T119" s="318"/>
      <c r="U119" s="318"/>
      <c r="V119" s="318"/>
      <c r="W119" s="318"/>
      <c r="X119" s="318"/>
      <c r="Y119" s="467"/>
      <c r="Z119" s="342">
        <f t="shared" si="21"/>
        <v>1237200</v>
      </c>
      <c r="AC119" s="214"/>
      <c r="AD119" s="214"/>
    </row>
    <row r="120" spans="1:30" s="183" customFormat="1" ht="18.75" customHeight="1" x14ac:dyDescent="0.2">
      <c r="A120" s="1066"/>
      <c r="B120" s="1074"/>
      <c r="C120" s="179" t="s">
        <v>255</v>
      </c>
      <c r="D120" s="318"/>
      <c r="E120" s="199"/>
      <c r="F120" s="200"/>
      <c r="G120" s="315"/>
      <c r="H120" s="315"/>
      <c r="I120" s="339">
        <f t="shared" ref="I120:I122" si="25">ROUND(F120*G120*E120*H120,-2)</f>
        <v>0</v>
      </c>
      <c r="J120" s="356">
        <f t="shared" si="20"/>
        <v>0</v>
      </c>
      <c r="K120" s="304">
        <v>1637</v>
      </c>
      <c r="L120" s="311">
        <v>1</v>
      </c>
      <c r="M120" s="200">
        <v>85000</v>
      </c>
      <c r="N120" s="315">
        <v>1.05</v>
      </c>
      <c r="O120" s="315">
        <v>1.05</v>
      </c>
      <c r="P120" s="315">
        <v>1</v>
      </c>
      <c r="Q120" s="350">
        <f t="shared" si="14"/>
        <v>93700</v>
      </c>
      <c r="R120" s="356">
        <f t="shared" si="15"/>
        <v>1124400</v>
      </c>
      <c r="S120" s="317"/>
      <c r="T120" s="318"/>
      <c r="U120" s="318"/>
      <c r="V120" s="318"/>
      <c r="W120" s="318"/>
      <c r="X120" s="318"/>
      <c r="Y120" s="467"/>
      <c r="Z120" s="342">
        <f t="shared" si="21"/>
        <v>1124400</v>
      </c>
      <c r="AC120" s="214"/>
      <c r="AD120" s="214"/>
    </row>
    <row r="121" spans="1:30" s="183" customFormat="1" ht="18.75" customHeight="1" x14ac:dyDescent="0.2">
      <c r="A121" s="1116">
        <v>31</v>
      </c>
      <c r="B121" s="1195" t="s">
        <v>240</v>
      </c>
      <c r="C121" s="344" t="s">
        <v>241</v>
      </c>
      <c r="D121" s="318"/>
      <c r="E121" s="199"/>
      <c r="F121" s="200"/>
      <c r="G121" s="315"/>
      <c r="H121" s="315"/>
      <c r="I121" s="339">
        <f t="shared" ref="I121" si="26">ROUND(F121*G121*E121*H121,-2)</f>
        <v>0</v>
      </c>
      <c r="J121" s="356">
        <f t="shared" si="20"/>
        <v>0</v>
      </c>
      <c r="K121" s="304">
        <v>500</v>
      </c>
      <c r="L121" s="311">
        <v>0.5</v>
      </c>
      <c r="M121" s="200">
        <v>75000</v>
      </c>
      <c r="N121" s="315">
        <v>1.05</v>
      </c>
      <c r="O121" s="315">
        <v>1.05</v>
      </c>
      <c r="P121" s="315">
        <v>1</v>
      </c>
      <c r="Q121" s="350">
        <f>ROUND(M121*N121*P121*L121*O121,-2)</f>
        <v>41300</v>
      </c>
      <c r="R121" s="356">
        <f>Q121*$R$5</f>
        <v>495600</v>
      </c>
      <c r="S121" s="317"/>
      <c r="T121" s="318"/>
      <c r="U121" s="318"/>
      <c r="V121" s="318"/>
      <c r="W121" s="318"/>
      <c r="X121" s="318"/>
      <c r="Y121" s="467"/>
      <c r="Z121" s="342">
        <f t="shared" si="21"/>
        <v>495600</v>
      </c>
      <c r="AC121" s="214"/>
      <c r="AD121" s="214"/>
    </row>
    <row r="122" spans="1:30" s="183" customFormat="1" ht="18.75" customHeight="1" x14ac:dyDescent="0.2">
      <c r="A122" s="1117"/>
      <c r="B122" s="1196"/>
      <c r="C122" s="344" t="s">
        <v>241</v>
      </c>
      <c r="D122" s="318"/>
      <c r="E122" s="199"/>
      <c r="F122" s="200"/>
      <c r="G122" s="315"/>
      <c r="H122" s="315"/>
      <c r="I122" s="339">
        <f t="shared" si="25"/>
        <v>0</v>
      </c>
      <c r="J122" s="356">
        <f t="shared" si="20"/>
        <v>0</v>
      </c>
      <c r="K122" s="304">
        <v>500</v>
      </c>
      <c r="L122" s="199">
        <v>1</v>
      </c>
      <c r="M122" s="200">
        <v>75000</v>
      </c>
      <c r="N122" s="315">
        <v>1.05</v>
      </c>
      <c r="O122" s="315">
        <v>1.05</v>
      </c>
      <c r="P122" s="315">
        <v>1.1000000000000001</v>
      </c>
      <c r="Q122" s="350">
        <f t="shared" si="14"/>
        <v>91000</v>
      </c>
      <c r="R122" s="356">
        <f t="shared" si="15"/>
        <v>1092000</v>
      </c>
      <c r="S122" s="317"/>
      <c r="T122" s="318"/>
      <c r="U122" s="318"/>
      <c r="V122" s="318"/>
      <c r="W122" s="318"/>
      <c r="X122" s="318"/>
      <c r="Y122" s="467"/>
      <c r="Z122" s="342">
        <f t="shared" si="21"/>
        <v>1092000</v>
      </c>
      <c r="AC122" s="214"/>
      <c r="AD122" s="214"/>
    </row>
    <row r="123" spans="1:30" s="201" customFormat="1" ht="18.75" customHeight="1" x14ac:dyDescent="0.2">
      <c r="A123" s="405"/>
      <c r="B123" s="406" t="s">
        <v>1</v>
      </c>
      <c r="C123" s="407"/>
      <c r="D123" s="410"/>
      <c r="E123" s="409">
        <f>SUM(E46:E122)</f>
        <v>29</v>
      </c>
      <c r="F123" s="408"/>
      <c r="G123" s="410"/>
      <c r="H123" s="410"/>
      <c r="I123" s="399"/>
      <c r="J123" s="411">
        <f>SUM(J46:J122)</f>
        <v>24357600</v>
      </c>
      <c r="K123" s="445"/>
      <c r="L123" s="409">
        <f>SUM(L46:L122)</f>
        <v>45.5</v>
      </c>
      <c r="M123" s="408"/>
      <c r="N123" s="410"/>
      <c r="O123" s="410"/>
      <c r="P123" s="410"/>
      <c r="Q123" s="413"/>
      <c r="R123" s="411">
        <f>SUM(R46:R122)</f>
        <v>47083200</v>
      </c>
      <c r="S123" s="412"/>
      <c r="T123" s="408"/>
      <c r="U123" s="408"/>
      <c r="V123" s="410"/>
      <c r="W123" s="410"/>
      <c r="X123" s="408"/>
      <c r="Y123" s="414"/>
      <c r="Z123" s="404">
        <f>SUM(Z46:Z122)</f>
        <v>71440800</v>
      </c>
      <c r="AA123" s="175"/>
      <c r="AB123" s="237"/>
      <c r="AC123" s="214"/>
      <c r="AD123" s="214"/>
    </row>
    <row r="124" spans="1:30" s="196" customFormat="1" ht="18.75" customHeight="1" x14ac:dyDescent="0.2">
      <c r="A124" s="1197" t="s">
        <v>18</v>
      </c>
      <c r="B124" s="1198"/>
      <c r="C124" s="1198"/>
      <c r="D124" s="1198"/>
      <c r="E124" s="1198"/>
      <c r="F124" s="210"/>
      <c r="G124" s="379"/>
      <c r="H124" s="379"/>
      <c r="I124" s="185"/>
      <c r="J124" s="346"/>
      <c r="K124" s="444"/>
      <c r="L124" s="179"/>
      <c r="M124" s="179"/>
      <c r="N124" s="194"/>
      <c r="O124" s="194"/>
      <c r="P124" s="194"/>
      <c r="Q124" s="180"/>
      <c r="R124" s="346"/>
      <c r="S124" s="193"/>
      <c r="T124" s="194"/>
      <c r="U124" s="194"/>
      <c r="V124" s="194"/>
      <c r="W124" s="194"/>
      <c r="X124" s="194"/>
      <c r="Y124" s="465"/>
      <c r="Z124" s="342"/>
    </row>
    <row r="125" spans="1:30" s="201" customFormat="1" ht="18.75" customHeight="1" x14ac:dyDescent="0.2">
      <c r="A125" s="1122">
        <v>1</v>
      </c>
      <c r="B125" s="1071" t="s">
        <v>7</v>
      </c>
      <c r="C125" s="179" t="s">
        <v>5</v>
      </c>
      <c r="D125" s="387"/>
      <c r="E125" s="200"/>
      <c r="F125" s="200"/>
      <c r="G125" s="315"/>
      <c r="H125" s="315"/>
      <c r="I125" s="185"/>
      <c r="J125" s="356">
        <f>I125*$J$5</f>
        <v>0</v>
      </c>
      <c r="K125" s="446"/>
      <c r="L125" s="200"/>
      <c r="M125" s="200"/>
      <c r="N125" s="387"/>
      <c r="O125" s="387"/>
      <c r="P125" s="387"/>
      <c r="Q125" s="200"/>
      <c r="R125" s="356">
        <f t="shared" ref="R125:R128" si="27">Q125*$J$5</f>
        <v>0</v>
      </c>
      <c r="S125" s="333" t="s">
        <v>198</v>
      </c>
      <c r="T125" s="311">
        <v>1</v>
      </c>
      <c r="U125" s="200">
        <v>75000</v>
      </c>
      <c r="V125" s="388">
        <v>1.05</v>
      </c>
      <c r="W125" s="388">
        <v>1.05</v>
      </c>
      <c r="X125" s="350">
        <f>ROUND(U125*V125*T125*W125,-2)</f>
        <v>82700</v>
      </c>
      <c r="Y125" s="356">
        <f>X125*$Y$5</f>
        <v>992400</v>
      </c>
      <c r="Z125" s="342">
        <f>J125+R125+Y125</f>
        <v>992400</v>
      </c>
    </row>
    <row r="126" spans="1:30" s="201" customFormat="1" ht="18.75" customHeight="1" x14ac:dyDescent="0.2">
      <c r="A126" s="1122"/>
      <c r="B126" s="1071"/>
      <c r="C126" s="179" t="s">
        <v>4</v>
      </c>
      <c r="D126" s="387"/>
      <c r="E126" s="200"/>
      <c r="F126" s="200"/>
      <c r="G126" s="315"/>
      <c r="H126" s="315"/>
      <c r="I126" s="185"/>
      <c r="J126" s="356">
        <f>I126*$J$5</f>
        <v>0</v>
      </c>
      <c r="K126" s="446"/>
      <c r="L126" s="200"/>
      <c r="M126" s="200"/>
      <c r="N126" s="387"/>
      <c r="O126" s="387"/>
      <c r="P126" s="387"/>
      <c r="Q126" s="200"/>
      <c r="R126" s="356">
        <f t="shared" si="27"/>
        <v>0</v>
      </c>
      <c r="S126" s="333" t="s">
        <v>198</v>
      </c>
      <c r="T126" s="311">
        <v>1</v>
      </c>
      <c r="U126" s="322">
        <v>75000</v>
      </c>
      <c r="V126" s="388">
        <v>1.05</v>
      </c>
      <c r="W126" s="388">
        <v>1.05</v>
      </c>
      <c r="X126" s="350">
        <f t="shared" ref="X126:X128" si="28">ROUND(U126*V126*T126*W126,-2)</f>
        <v>82700</v>
      </c>
      <c r="Y126" s="356">
        <f t="shared" ref="Y126:Y128" si="29">X126*$Y$5</f>
        <v>992400</v>
      </c>
      <c r="Z126" s="342">
        <f t="shared" ref="Z126:Z128" si="30">J126+R126+Y126</f>
        <v>992400</v>
      </c>
    </row>
    <row r="127" spans="1:30" s="201" customFormat="1" ht="18.75" customHeight="1" x14ac:dyDescent="0.2">
      <c r="A127" s="1122"/>
      <c r="B127" s="1071"/>
      <c r="C127" s="179" t="s">
        <v>3</v>
      </c>
      <c r="D127" s="387"/>
      <c r="E127" s="200"/>
      <c r="F127" s="200"/>
      <c r="G127" s="315"/>
      <c r="H127" s="315"/>
      <c r="I127" s="185"/>
      <c r="J127" s="356">
        <f>I127*$J$5</f>
        <v>0</v>
      </c>
      <c r="K127" s="446"/>
      <c r="L127" s="200"/>
      <c r="M127" s="200"/>
      <c r="N127" s="387"/>
      <c r="O127" s="387"/>
      <c r="P127" s="387"/>
      <c r="Q127" s="200"/>
      <c r="R127" s="356">
        <f t="shared" si="27"/>
        <v>0</v>
      </c>
      <c r="S127" s="333">
        <v>0</v>
      </c>
      <c r="T127" s="311">
        <v>1</v>
      </c>
      <c r="U127" s="200">
        <v>60000</v>
      </c>
      <c r="V127" s="388">
        <v>1.05</v>
      </c>
      <c r="W127" s="388">
        <v>1.05</v>
      </c>
      <c r="X127" s="350">
        <f t="shared" si="28"/>
        <v>66200</v>
      </c>
      <c r="Y127" s="356">
        <f t="shared" si="29"/>
        <v>794400</v>
      </c>
      <c r="Z127" s="342">
        <f t="shared" si="30"/>
        <v>794400</v>
      </c>
    </row>
    <row r="128" spans="1:30" s="201" customFormat="1" ht="18.75" customHeight="1" x14ac:dyDescent="0.2">
      <c r="A128" s="1122"/>
      <c r="B128" s="1071"/>
      <c r="C128" s="179" t="s">
        <v>2</v>
      </c>
      <c r="D128" s="387"/>
      <c r="E128" s="200"/>
      <c r="F128" s="200"/>
      <c r="G128" s="315"/>
      <c r="H128" s="315"/>
      <c r="I128" s="185"/>
      <c r="J128" s="356">
        <f>I128*$J$5</f>
        <v>0</v>
      </c>
      <c r="K128" s="446"/>
      <c r="L128" s="200"/>
      <c r="M128" s="200"/>
      <c r="N128" s="387"/>
      <c r="O128" s="387"/>
      <c r="P128" s="387"/>
      <c r="Q128" s="200"/>
      <c r="R128" s="356">
        <f t="shared" si="27"/>
        <v>0</v>
      </c>
      <c r="S128" s="333" t="s">
        <v>198</v>
      </c>
      <c r="T128" s="311">
        <v>1</v>
      </c>
      <c r="U128" s="200">
        <v>75000</v>
      </c>
      <c r="V128" s="388">
        <v>1.05</v>
      </c>
      <c r="W128" s="388">
        <v>1.05</v>
      </c>
      <c r="X128" s="350">
        <f t="shared" si="28"/>
        <v>82700</v>
      </c>
      <c r="Y128" s="356">
        <f t="shared" si="29"/>
        <v>992400</v>
      </c>
      <c r="Z128" s="342">
        <f t="shared" si="30"/>
        <v>992400</v>
      </c>
    </row>
    <row r="129" spans="1:28" s="201" customFormat="1" ht="18.75" customHeight="1" x14ac:dyDescent="0.2">
      <c r="A129" s="396"/>
      <c r="B129" s="406" t="s">
        <v>1</v>
      </c>
      <c r="C129" s="397"/>
      <c r="D129" s="410"/>
      <c r="E129" s="408">
        <f>SUM(E125:E128)</f>
        <v>0</v>
      </c>
      <c r="F129" s="408"/>
      <c r="G129" s="410"/>
      <c r="H129" s="410"/>
      <c r="I129" s="399"/>
      <c r="J129" s="415">
        <f>SUM(J125:J128)</f>
        <v>0</v>
      </c>
      <c r="K129" s="445"/>
      <c r="L129" s="408">
        <f>SUM(L125:L128)</f>
        <v>0</v>
      </c>
      <c r="M129" s="408"/>
      <c r="N129" s="410"/>
      <c r="O129" s="410"/>
      <c r="P129" s="400"/>
      <c r="Q129" s="408"/>
      <c r="R129" s="401">
        <f>SUM(R125:R128)</f>
        <v>0</v>
      </c>
      <c r="S129" s="412"/>
      <c r="T129" s="408">
        <f>SUM(T125:T128)</f>
        <v>4</v>
      </c>
      <c r="U129" s="408"/>
      <c r="V129" s="410"/>
      <c r="W129" s="410"/>
      <c r="X129" s="408"/>
      <c r="Y129" s="411">
        <f>SUM(Y125:Y128)</f>
        <v>3771600</v>
      </c>
      <c r="Z129" s="404">
        <f>SUM(Z125:Z128)</f>
        <v>3771600</v>
      </c>
      <c r="AA129" s="175"/>
      <c r="AB129" s="237"/>
    </row>
    <row r="130" spans="1:28" s="201" customFormat="1" ht="18.75" customHeight="1" thickBot="1" x14ac:dyDescent="0.25">
      <c r="A130" s="416"/>
      <c r="B130" s="417" t="s">
        <v>0</v>
      </c>
      <c r="C130" s="417"/>
      <c r="D130" s="419"/>
      <c r="E130" s="418">
        <f>E44+E123+E129</f>
        <v>66</v>
      </c>
      <c r="F130" s="418"/>
      <c r="G130" s="419"/>
      <c r="H130" s="419"/>
      <c r="I130" s="420"/>
      <c r="J130" s="421">
        <f>J44+J123+J129</f>
        <v>55928400</v>
      </c>
      <c r="K130" s="447"/>
      <c r="L130" s="418">
        <f>L44+L123+L129</f>
        <v>45.5</v>
      </c>
      <c r="M130" s="418"/>
      <c r="N130" s="419"/>
      <c r="O130" s="419"/>
      <c r="P130" s="423"/>
      <c r="Q130" s="424"/>
      <c r="R130" s="421">
        <f>R44+R123+R129</f>
        <v>47083200</v>
      </c>
      <c r="S130" s="422"/>
      <c r="T130" s="418">
        <f>T44+T123+T129</f>
        <v>4</v>
      </c>
      <c r="U130" s="418"/>
      <c r="V130" s="419"/>
      <c r="W130" s="419"/>
      <c r="X130" s="418"/>
      <c r="Y130" s="421">
        <f>Y44+Y123+Y129</f>
        <v>3771600</v>
      </c>
      <c r="Z130" s="425">
        <f>Z44+Z123+Z129</f>
        <v>106783200</v>
      </c>
      <c r="AA130" s="175"/>
      <c r="AB130" s="237"/>
    </row>
    <row r="131" spans="1:28" s="201" customFormat="1" x14ac:dyDescent="0.2">
      <c r="A131" s="231"/>
      <c r="B131" s="231"/>
      <c r="C131" s="231"/>
      <c r="E131" s="232"/>
      <c r="F131" s="232"/>
      <c r="I131" s="233"/>
      <c r="J131" s="334"/>
      <c r="L131" s="232"/>
      <c r="M131" s="232"/>
      <c r="Q131" s="232"/>
      <c r="R131" s="334"/>
      <c r="S131" s="232"/>
      <c r="T131" s="232"/>
      <c r="U131" s="232"/>
      <c r="X131" s="232"/>
      <c r="Y131" s="334"/>
      <c r="Z131" s="234"/>
      <c r="AA131" s="175"/>
      <c r="AB131" s="237"/>
    </row>
    <row r="132" spans="1:28" s="201" customFormat="1" hidden="1" x14ac:dyDescent="0.2">
      <c r="A132" s="231"/>
      <c r="B132" s="231"/>
      <c r="C132" s="231"/>
      <c r="E132" s="232"/>
      <c r="F132" s="232"/>
      <c r="I132" s="348"/>
      <c r="J132" s="232"/>
      <c r="L132" s="232"/>
      <c r="M132" s="232"/>
      <c r="Q132" s="232"/>
      <c r="R132" s="232"/>
      <c r="S132" s="232"/>
      <c r="T132" s="232"/>
      <c r="U132" s="232"/>
      <c r="X132" s="232"/>
      <c r="Y132" s="232"/>
      <c r="Z132" s="234"/>
      <c r="AA132" s="175"/>
      <c r="AB132" s="237"/>
    </row>
    <row r="133" spans="1:28" s="201" customFormat="1" hidden="1" x14ac:dyDescent="0.2">
      <c r="A133" s="231"/>
      <c r="B133" s="231"/>
      <c r="C133" s="231"/>
      <c r="E133" s="232"/>
      <c r="F133" s="232"/>
      <c r="I133" s="233"/>
      <c r="J133" s="232"/>
      <c r="L133" s="232"/>
      <c r="M133" s="232"/>
      <c r="Q133" s="232"/>
      <c r="R133" s="232"/>
      <c r="S133" s="232"/>
      <c r="T133" s="232"/>
      <c r="U133" s="232"/>
      <c r="X133" s="232"/>
      <c r="Y133" s="232"/>
      <c r="Z133" s="234"/>
      <c r="AA133" s="175"/>
      <c r="AB133" s="237"/>
    </row>
    <row r="134" spans="1:28" hidden="1" x14ac:dyDescent="0.25">
      <c r="J134" s="202"/>
      <c r="R134" s="202"/>
      <c r="Y134" s="202"/>
      <c r="Z134" s="202"/>
    </row>
    <row r="135" spans="1:28" hidden="1" x14ac:dyDescent="0.25">
      <c r="Z135" s="188"/>
    </row>
    <row r="136" spans="1:28" hidden="1" x14ac:dyDescent="0.25">
      <c r="B136" s="329" t="s">
        <v>209</v>
      </c>
      <c r="J136" s="351">
        <v>12</v>
      </c>
      <c r="R136" s="351">
        <f>R5</f>
        <v>12</v>
      </c>
      <c r="Y136" s="351">
        <f>Y5</f>
        <v>12</v>
      </c>
      <c r="Z136" s="188"/>
    </row>
    <row r="137" spans="1:28" s="483" customFormat="1" hidden="1" x14ac:dyDescent="0.25">
      <c r="A137" s="1199">
        <v>1</v>
      </c>
      <c r="B137" s="1201" t="s">
        <v>201</v>
      </c>
      <c r="C137" s="470" t="s">
        <v>202</v>
      </c>
      <c r="D137" s="471"/>
      <c r="E137" s="472"/>
      <c r="F137" s="473"/>
      <c r="G137" s="474"/>
      <c r="H137" s="474"/>
      <c r="I137" s="475">
        <f>ROUND(E137*F137*G137*H137,-2)</f>
        <v>0</v>
      </c>
      <c r="J137" s="476">
        <f>I137*$J$136</f>
        <v>0</v>
      </c>
      <c r="K137" s="477">
        <v>628</v>
      </c>
      <c r="L137" s="478">
        <v>1</v>
      </c>
      <c r="M137" s="472">
        <v>80000</v>
      </c>
      <c r="N137" s="479">
        <v>1.05</v>
      </c>
      <c r="O137" s="479">
        <v>1.05</v>
      </c>
      <c r="P137" s="479">
        <v>1.1000000000000001</v>
      </c>
      <c r="Q137" s="473">
        <f>ROUND(L137*M137*N137*P137*O137,-2)</f>
        <v>97000</v>
      </c>
      <c r="R137" s="476">
        <f t="shared" ref="R137:R140" si="31">Q137*$R$136</f>
        <v>1164000</v>
      </c>
      <c r="S137" s="480"/>
      <c r="T137" s="479"/>
      <c r="U137" s="479"/>
      <c r="V137" s="479"/>
      <c r="W137" s="479"/>
      <c r="X137" s="479"/>
      <c r="Y137" s="481"/>
      <c r="Z137" s="482">
        <f t="shared" ref="Z137:Z141" si="32">J137+R137+Y137</f>
        <v>1164000</v>
      </c>
    </row>
    <row r="138" spans="1:28" s="483" customFormat="1" hidden="1" x14ac:dyDescent="0.25">
      <c r="A138" s="1200"/>
      <c r="B138" s="1202"/>
      <c r="C138" s="484" t="s">
        <v>203</v>
      </c>
      <c r="D138" s="485" t="s">
        <v>185</v>
      </c>
      <c r="E138" s="486">
        <v>1</v>
      </c>
      <c r="F138" s="487">
        <v>65000</v>
      </c>
      <c r="G138" s="488">
        <v>1.05</v>
      </c>
      <c r="H138" s="488">
        <v>1.05</v>
      </c>
      <c r="I138" s="489">
        <f>ROUND(E138*F138*G138*H138,-2)</f>
        <v>71700</v>
      </c>
      <c r="J138" s="490">
        <f>I138*$J$136</f>
        <v>860400</v>
      </c>
      <c r="K138" s="491"/>
      <c r="L138" s="492"/>
      <c r="M138" s="486"/>
      <c r="N138" s="493"/>
      <c r="O138" s="493"/>
      <c r="P138" s="493"/>
      <c r="Q138" s="487"/>
      <c r="R138" s="490">
        <f t="shared" si="31"/>
        <v>0</v>
      </c>
      <c r="S138" s="494"/>
      <c r="T138" s="493"/>
      <c r="U138" s="493"/>
      <c r="V138" s="493"/>
      <c r="W138" s="493"/>
      <c r="X138" s="493"/>
      <c r="Y138" s="495"/>
      <c r="Z138" s="496">
        <f t="shared" si="32"/>
        <v>860400</v>
      </c>
    </row>
    <row r="139" spans="1:28" s="483" customFormat="1" hidden="1" x14ac:dyDescent="0.25">
      <c r="A139" s="1200"/>
      <c r="B139" s="1202"/>
      <c r="C139" s="484" t="s">
        <v>204</v>
      </c>
      <c r="D139" s="485" t="s">
        <v>185</v>
      </c>
      <c r="E139" s="486">
        <v>1</v>
      </c>
      <c r="F139" s="487">
        <v>65000</v>
      </c>
      <c r="G139" s="488">
        <v>1.05</v>
      </c>
      <c r="H139" s="488">
        <v>1.05</v>
      </c>
      <c r="I139" s="489">
        <f t="shared" ref="I139:I140" si="33">ROUND(E139*F139*G139*H139,-2)</f>
        <v>71700</v>
      </c>
      <c r="J139" s="490">
        <f t="shared" ref="J139:J141" si="34">I139*$J$136</f>
        <v>860400</v>
      </c>
      <c r="K139" s="491"/>
      <c r="L139" s="492"/>
      <c r="M139" s="486"/>
      <c r="N139" s="493"/>
      <c r="O139" s="493"/>
      <c r="P139" s="493"/>
      <c r="Q139" s="487"/>
      <c r="R139" s="490">
        <f t="shared" si="31"/>
        <v>0</v>
      </c>
      <c r="S139" s="494"/>
      <c r="T139" s="493"/>
      <c r="U139" s="493"/>
      <c r="V139" s="493"/>
      <c r="W139" s="493"/>
      <c r="X139" s="493"/>
      <c r="Y139" s="495"/>
      <c r="Z139" s="496">
        <f t="shared" si="32"/>
        <v>860400</v>
      </c>
    </row>
    <row r="140" spans="1:28" s="483" customFormat="1" hidden="1" x14ac:dyDescent="0.25">
      <c r="A140" s="1200"/>
      <c r="B140" s="1202"/>
      <c r="C140" s="484" t="s">
        <v>205</v>
      </c>
      <c r="D140" s="485"/>
      <c r="E140" s="486"/>
      <c r="F140" s="487"/>
      <c r="G140" s="488"/>
      <c r="H140" s="488"/>
      <c r="I140" s="489">
        <f t="shared" si="33"/>
        <v>0</v>
      </c>
      <c r="J140" s="490">
        <f t="shared" si="34"/>
        <v>0</v>
      </c>
      <c r="K140" s="491"/>
      <c r="L140" s="492"/>
      <c r="M140" s="486"/>
      <c r="N140" s="493"/>
      <c r="O140" s="493"/>
      <c r="P140" s="493"/>
      <c r="Q140" s="487"/>
      <c r="R140" s="490">
        <f t="shared" si="31"/>
        <v>0</v>
      </c>
      <c r="S140" s="494">
        <v>730</v>
      </c>
      <c r="T140" s="492">
        <v>1</v>
      </c>
      <c r="U140" s="486">
        <v>60000</v>
      </c>
      <c r="V140" s="493">
        <v>1.05</v>
      </c>
      <c r="W140" s="493">
        <v>1.05</v>
      </c>
      <c r="X140" s="486">
        <f>ROUND(T140*U140*V140*W140,-2)</f>
        <v>66200</v>
      </c>
      <c r="Y140" s="497">
        <f>$Y$136*X140</f>
        <v>794400</v>
      </c>
      <c r="Z140" s="496">
        <f t="shared" si="32"/>
        <v>794400</v>
      </c>
    </row>
    <row r="141" spans="1:28" hidden="1" x14ac:dyDescent="0.25">
      <c r="A141" s="349">
        <v>2</v>
      </c>
      <c r="B141" s="208" t="s">
        <v>207</v>
      </c>
      <c r="C141" s="365" t="s">
        <v>208</v>
      </c>
      <c r="D141" s="456"/>
      <c r="E141" s="368"/>
      <c r="F141" s="374"/>
      <c r="G141" s="381"/>
      <c r="H141" s="381"/>
      <c r="I141" s="375"/>
      <c r="J141" s="370">
        <f t="shared" si="34"/>
        <v>0</v>
      </c>
      <c r="K141" s="449">
        <v>1377</v>
      </c>
      <c r="L141" s="371">
        <v>1</v>
      </c>
      <c r="M141" s="366">
        <v>85000</v>
      </c>
      <c r="N141" s="373">
        <v>1.05</v>
      </c>
      <c r="O141" s="373">
        <v>1.05</v>
      </c>
      <c r="P141" s="373">
        <v>1.1000000000000001</v>
      </c>
      <c r="Q141" s="367">
        <f>ROUND(L141*M141*N141*P141*O141,-2)</f>
        <v>103100</v>
      </c>
      <c r="R141" s="370">
        <f>Q141*$R$136</f>
        <v>1237200</v>
      </c>
      <c r="S141" s="372"/>
      <c r="T141" s="373"/>
      <c r="U141" s="373"/>
      <c r="V141" s="373"/>
      <c r="W141" s="373"/>
      <c r="X141" s="373"/>
      <c r="Y141" s="392"/>
      <c r="Z141" s="343">
        <f t="shared" si="32"/>
        <v>1237200</v>
      </c>
    </row>
    <row r="142" spans="1:28" s="203" customFormat="1" ht="16.5" hidden="1" thickBot="1" x14ac:dyDescent="0.3">
      <c r="A142" s="426"/>
      <c r="B142" s="427" t="s">
        <v>1</v>
      </c>
      <c r="C142" s="428"/>
      <c r="D142" s="457"/>
      <c r="E142" s="429">
        <f>SUM(E137:E141)</f>
        <v>2</v>
      </c>
      <c r="F142" s="430"/>
      <c r="G142" s="431"/>
      <c r="H142" s="431"/>
      <c r="I142" s="432"/>
      <c r="J142" s="433">
        <f>SUM(J137:J141)</f>
        <v>1720800</v>
      </c>
      <c r="K142" s="450"/>
      <c r="L142" s="429">
        <f>SUM(L137:L141)</f>
        <v>2</v>
      </c>
      <c r="M142" s="434"/>
      <c r="N142" s="435"/>
      <c r="O142" s="435"/>
      <c r="P142" s="435"/>
      <c r="Q142" s="436"/>
      <c r="R142" s="433">
        <f>Q142*$R$136</f>
        <v>0</v>
      </c>
      <c r="S142" s="437"/>
      <c r="T142" s="429">
        <f>SUM(T137:T141)</f>
        <v>1</v>
      </c>
      <c r="U142" s="435"/>
      <c r="V142" s="435"/>
      <c r="W142" s="435"/>
      <c r="X142" s="435"/>
      <c r="Y142" s="438">
        <f>SUM(Y137:Y141)</f>
        <v>794400</v>
      </c>
      <c r="Z142" s="438">
        <f>SUM(Z137:Z141)</f>
        <v>4916400</v>
      </c>
    </row>
    <row r="143" spans="1:28" hidden="1" x14ac:dyDescent="0.25">
      <c r="J143" s="352"/>
      <c r="K143" s="237"/>
      <c r="R143" s="352"/>
      <c r="Y143" s="352"/>
    </row>
    <row r="144" spans="1:28" hidden="1" x14ac:dyDescent="0.25"/>
    <row r="145" spans="3:10" hidden="1" x14ac:dyDescent="0.25">
      <c r="C145" s="329" t="s">
        <v>220</v>
      </c>
      <c r="D145" s="335">
        <v>2015</v>
      </c>
      <c r="E145" s="328"/>
      <c r="F145" s="336">
        <v>2016</v>
      </c>
      <c r="G145" s="335">
        <v>2017</v>
      </c>
      <c r="H145" s="335"/>
      <c r="I145" s="336"/>
      <c r="J145" s="336">
        <v>2018</v>
      </c>
    </row>
    <row r="146" spans="3:10" hidden="1" x14ac:dyDescent="0.25">
      <c r="C146" s="329" t="s">
        <v>221</v>
      </c>
      <c r="D146" s="335"/>
      <c r="E146" s="328"/>
      <c r="F146" s="336"/>
      <c r="G146" s="337"/>
      <c r="H146" s="337"/>
      <c r="I146" s="336"/>
      <c r="J146" s="353" t="s">
        <v>237</v>
      </c>
    </row>
    <row r="147" spans="3:10" hidden="1" x14ac:dyDescent="0.25">
      <c r="C147" s="162" t="s">
        <v>215</v>
      </c>
      <c r="D147" s="382">
        <v>60000</v>
      </c>
      <c r="E147" s="328">
        <v>1.05</v>
      </c>
      <c r="F147" s="327">
        <f>D147*E147</f>
        <v>63000</v>
      </c>
      <c r="G147" s="382">
        <v>63000</v>
      </c>
      <c r="H147" s="382"/>
      <c r="I147" s="328">
        <v>1.05</v>
      </c>
      <c r="J147" s="354">
        <f>ROUND(G147*I147,-2)</f>
        <v>66200</v>
      </c>
    </row>
    <row r="148" spans="3:10" hidden="1" x14ac:dyDescent="0.25">
      <c r="C148" s="162" t="s">
        <v>216</v>
      </c>
      <c r="D148" s="382">
        <v>70000</v>
      </c>
      <c r="E148" s="328">
        <v>1.05</v>
      </c>
      <c r="F148" s="327">
        <f t="shared" ref="F148:F154" si="35">D148*E148</f>
        <v>73500</v>
      </c>
      <c r="G148" s="382">
        <v>73500</v>
      </c>
      <c r="H148" s="382"/>
      <c r="I148" s="328">
        <v>1.05</v>
      </c>
      <c r="J148" s="354">
        <f t="shared" ref="J148:J154" si="36">ROUND(G148*I148,-2)</f>
        <v>77200</v>
      </c>
    </row>
    <row r="149" spans="3:10" hidden="1" x14ac:dyDescent="0.25">
      <c r="C149" s="162" t="s">
        <v>217</v>
      </c>
      <c r="D149" s="382">
        <v>75000</v>
      </c>
      <c r="E149" s="328">
        <v>1.05</v>
      </c>
      <c r="F149" s="327">
        <f t="shared" si="35"/>
        <v>78750</v>
      </c>
      <c r="G149" s="382">
        <v>78750</v>
      </c>
      <c r="H149" s="382"/>
      <c r="I149" s="328">
        <v>1.05</v>
      </c>
      <c r="J149" s="354">
        <f t="shared" si="36"/>
        <v>82700</v>
      </c>
    </row>
    <row r="150" spans="3:10" hidden="1" x14ac:dyDescent="0.25">
      <c r="C150" s="162" t="s">
        <v>218</v>
      </c>
      <c r="D150" s="382">
        <v>80000</v>
      </c>
      <c r="E150" s="328">
        <v>1.05</v>
      </c>
      <c r="F150" s="327">
        <f t="shared" si="35"/>
        <v>84000</v>
      </c>
      <c r="G150" s="382">
        <v>84000</v>
      </c>
      <c r="H150" s="382"/>
      <c r="I150" s="328">
        <v>1.05</v>
      </c>
      <c r="J150" s="354">
        <f t="shared" si="36"/>
        <v>88200</v>
      </c>
    </row>
    <row r="151" spans="3:10" hidden="1" x14ac:dyDescent="0.25">
      <c r="C151" s="162" t="s">
        <v>219</v>
      </c>
      <c r="D151" s="382">
        <v>85000</v>
      </c>
      <c r="E151" s="328">
        <v>1.05</v>
      </c>
      <c r="F151" s="327">
        <f t="shared" si="35"/>
        <v>89250</v>
      </c>
      <c r="G151" s="382">
        <v>89250</v>
      </c>
      <c r="H151" s="382"/>
      <c r="I151" s="328">
        <v>1.05</v>
      </c>
      <c r="J151" s="354">
        <f t="shared" si="36"/>
        <v>93700</v>
      </c>
    </row>
    <row r="152" spans="3:10" hidden="1" x14ac:dyDescent="0.25">
      <c r="C152" s="329" t="s">
        <v>222</v>
      </c>
      <c r="D152" s="337"/>
      <c r="E152" s="328"/>
      <c r="F152" s="336"/>
      <c r="G152" s="382"/>
      <c r="H152" s="382"/>
      <c r="I152" s="328"/>
      <c r="J152" s="354"/>
    </row>
    <row r="153" spans="3:10" hidden="1" x14ac:dyDescent="0.25">
      <c r="C153" s="162" t="s">
        <v>186</v>
      </c>
      <c r="D153" s="382">
        <v>60000</v>
      </c>
      <c r="E153" s="328">
        <v>1.05</v>
      </c>
      <c r="F153" s="327">
        <f t="shared" si="35"/>
        <v>63000</v>
      </c>
      <c r="G153" s="382">
        <v>63000</v>
      </c>
      <c r="H153" s="382"/>
      <c r="I153" s="328">
        <v>1.05</v>
      </c>
      <c r="J153" s="354">
        <f t="shared" si="36"/>
        <v>66200</v>
      </c>
    </row>
    <row r="154" spans="3:10" hidden="1" x14ac:dyDescent="0.25">
      <c r="C154" s="162" t="s">
        <v>185</v>
      </c>
      <c r="D154" s="382">
        <v>65000</v>
      </c>
      <c r="E154" s="328">
        <v>1.05</v>
      </c>
      <c r="F154" s="327">
        <f t="shared" si="35"/>
        <v>68250</v>
      </c>
      <c r="G154" s="382">
        <v>68250</v>
      </c>
      <c r="H154" s="382"/>
      <c r="I154" s="328">
        <v>1.05</v>
      </c>
      <c r="J154" s="354">
        <f t="shared" si="36"/>
        <v>71700</v>
      </c>
    </row>
  </sheetData>
  <autoFilter ref="A4:AD131" xr:uid="{00000000-0009-0000-0000-000005000000}"/>
  <mergeCells count="94">
    <mergeCell ref="A105:A110"/>
    <mergeCell ref="B105:B110"/>
    <mergeCell ref="Z2:Z4"/>
    <mergeCell ref="B42:B43"/>
    <mergeCell ref="A42:A43"/>
    <mergeCell ref="H3:H4"/>
    <mergeCell ref="S3:S4"/>
    <mergeCell ref="T3:T4"/>
    <mergeCell ref="U3:U4"/>
    <mergeCell ref="V3:V4"/>
    <mergeCell ref="A5:E5"/>
    <mergeCell ref="D3:D4"/>
    <mergeCell ref="E3:E4"/>
    <mergeCell ref="F3:F4"/>
    <mergeCell ref="G3:G4"/>
    <mergeCell ref="K3:K4"/>
    <mergeCell ref="L3:L4"/>
    <mergeCell ref="M3:M4"/>
    <mergeCell ref="S2:Y2"/>
    <mergeCell ref="X3:Y3"/>
    <mergeCell ref="A11:A12"/>
    <mergeCell ref="B11:B12"/>
    <mergeCell ref="A2:A4"/>
    <mergeCell ref="B2:B4"/>
    <mergeCell ref="C2:C4"/>
    <mergeCell ref="N3:N4"/>
    <mergeCell ref="P3:P4"/>
    <mergeCell ref="D2:J2"/>
    <mergeCell ref="K2:R2"/>
    <mergeCell ref="Q3:R3"/>
    <mergeCell ref="W3:W4"/>
    <mergeCell ref="A13:A14"/>
    <mergeCell ref="B13:B14"/>
    <mergeCell ref="A6:A7"/>
    <mergeCell ref="B6:B7"/>
    <mergeCell ref="A8:A10"/>
    <mergeCell ref="B8:B10"/>
    <mergeCell ref="A22:A23"/>
    <mergeCell ref="B22:B23"/>
    <mergeCell ref="A24:A28"/>
    <mergeCell ref="B24:B28"/>
    <mergeCell ref="A15:A17"/>
    <mergeCell ref="B15:B17"/>
    <mergeCell ref="A18:A20"/>
    <mergeCell ref="B18:B20"/>
    <mergeCell ref="A51:A54"/>
    <mergeCell ref="B51:B54"/>
    <mergeCell ref="A55:A57"/>
    <mergeCell ref="B55:B57"/>
    <mergeCell ref="A29:A30"/>
    <mergeCell ref="B29:B30"/>
    <mergeCell ref="A32:A33"/>
    <mergeCell ref="B32:B33"/>
    <mergeCell ref="A64:A65"/>
    <mergeCell ref="B64:B65"/>
    <mergeCell ref="A66:A67"/>
    <mergeCell ref="B66:B67"/>
    <mergeCell ref="A58:A59"/>
    <mergeCell ref="B58:B59"/>
    <mergeCell ref="A62:A63"/>
    <mergeCell ref="B62:B63"/>
    <mergeCell ref="B81:B83"/>
    <mergeCell ref="A68:A72"/>
    <mergeCell ref="B68:B72"/>
    <mergeCell ref="A73:A76"/>
    <mergeCell ref="B73:B76"/>
    <mergeCell ref="A111:A117"/>
    <mergeCell ref="B111:B117"/>
    <mergeCell ref="A124:E124"/>
    <mergeCell ref="B121:B122"/>
    <mergeCell ref="A121:A122"/>
    <mergeCell ref="A118:A120"/>
    <mergeCell ref="B118:B120"/>
    <mergeCell ref="A102:A103"/>
    <mergeCell ref="A96:A98"/>
    <mergeCell ref="B96:B98"/>
    <mergeCell ref="A99:A101"/>
    <mergeCell ref="B99:B101"/>
    <mergeCell ref="A85:A86"/>
    <mergeCell ref="B102:B103"/>
    <mergeCell ref="O3:O4"/>
    <mergeCell ref="A137:A140"/>
    <mergeCell ref="B137:B140"/>
    <mergeCell ref="I3:J3"/>
    <mergeCell ref="A125:A128"/>
    <mergeCell ref="B125:B128"/>
    <mergeCell ref="B85:B86"/>
    <mergeCell ref="A87:A89"/>
    <mergeCell ref="B87:B89"/>
    <mergeCell ref="A90:A93"/>
    <mergeCell ref="B90:B93"/>
    <mergeCell ref="A77:A80"/>
    <mergeCell ref="B77:B80"/>
    <mergeCell ref="A81:A83"/>
  </mergeCells>
  <pageMargins left="0.15748031496062992" right="0" top="0.19685039370078741" bottom="0.19685039370078741" header="0.51181102362204722" footer="0.51181102362204722"/>
  <pageSetup paperSize="9" scale="53" fitToWidth="2" fitToHeight="2" orientation="portrait" r:id="rId1"/>
  <headerFooter alignWithMargins="0"/>
  <rowBreaks count="2" manualBreakCount="2">
    <brk id="44" max="27" man="1"/>
    <brk id="123" max="27" man="1"/>
  </rowBreaks>
  <colBreaks count="1" manualBreakCount="1">
    <brk id="10" max="124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43"/>
  </sheetPr>
  <dimension ref="A1:AB141"/>
  <sheetViews>
    <sheetView view="pageBreakPreview" zoomScale="60" zoomScaleNormal="70" workbookViewId="0">
      <pane xSplit="4" ySplit="5" topLeftCell="E81" activePane="bottomRight" state="frozen"/>
      <selection pane="topRight" activeCell="E1" sqref="E1"/>
      <selection pane="bottomLeft" activeCell="A6" sqref="A6"/>
      <selection pane="bottomRight" activeCell="J29" sqref="J29"/>
    </sheetView>
  </sheetViews>
  <sheetFormatPr defaultColWidth="8.85546875" defaultRowHeight="15.75" x14ac:dyDescent="0.25"/>
  <cols>
    <col min="1" max="1" width="5.7109375" style="166" customWidth="1"/>
    <col min="2" max="2" width="23" style="162" customWidth="1"/>
    <col min="3" max="3" width="13.28515625" style="162" hidden="1" customWidth="1"/>
    <col min="4" max="4" width="36.7109375" style="162" customWidth="1"/>
    <col min="5" max="5" width="9" style="163" customWidth="1"/>
    <col min="6" max="6" width="8.5703125" style="164" customWidth="1"/>
    <col min="7" max="7" width="9" style="165" customWidth="1"/>
    <col min="8" max="8" width="7.5703125" style="164" customWidth="1"/>
    <col min="9" max="9" width="11.5703125" style="165" customWidth="1"/>
    <col min="10" max="10" width="14.28515625" style="165" customWidth="1"/>
    <col min="11" max="11" width="9.42578125" style="166" customWidth="1"/>
    <col min="12" max="12" width="8.42578125" style="166" customWidth="1"/>
    <col min="13" max="13" width="9" style="166" customWidth="1"/>
    <col min="14" max="14" width="8.42578125" style="166" customWidth="1"/>
    <col min="15" max="15" width="7.5703125" style="166" customWidth="1"/>
    <col min="16" max="16" width="10.85546875" style="167" customWidth="1"/>
    <col min="17" max="17" width="14" style="168" customWidth="1"/>
    <col min="18" max="19" width="8.28515625" style="175" customWidth="1"/>
    <col min="20" max="20" width="10" style="175" customWidth="1"/>
    <col min="21" max="21" width="8.28515625" style="175" customWidth="1"/>
    <col min="22" max="22" width="10.85546875" style="175" customWidth="1"/>
    <col min="23" max="23" width="13.42578125" style="175" customWidth="1"/>
    <col min="24" max="24" width="16.140625" style="203" customWidth="1"/>
    <col min="25" max="25" width="8.85546875" style="175"/>
    <col min="26" max="26" width="11.85546875" style="175" customWidth="1"/>
    <col min="27" max="28" width="21.85546875" style="175" customWidth="1"/>
    <col min="29" max="16384" width="8.85546875" style="175"/>
  </cols>
  <sheetData>
    <row r="1" spans="1:25" s="169" customFormat="1" ht="21.75" customHeight="1" thickBot="1" x14ac:dyDescent="0.3">
      <c r="A1" s="161" t="s">
        <v>213</v>
      </c>
      <c r="B1" s="161"/>
      <c r="C1" s="162"/>
      <c r="D1" s="162"/>
      <c r="E1" s="163"/>
      <c r="F1" s="164"/>
      <c r="G1" s="165"/>
      <c r="H1" s="164"/>
      <c r="I1" s="165"/>
      <c r="J1" s="165"/>
      <c r="K1" s="166"/>
      <c r="L1" s="166"/>
      <c r="M1" s="166"/>
      <c r="N1" s="166"/>
      <c r="O1" s="166"/>
      <c r="P1" s="167"/>
      <c r="Q1" s="168"/>
      <c r="X1" s="161"/>
      <c r="Y1" s="169" t="s">
        <v>223</v>
      </c>
    </row>
    <row r="2" spans="1:25" s="204" customFormat="1" ht="44.45" customHeight="1" x14ac:dyDescent="0.2">
      <c r="A2" s="1182" t="s">
        <v>168</v>
      </c>
      <c r="B2" s="1185" t="s">
        <v>167</v>
      </c>
      <c r="C2" s="1185" t="s">
        <v>166</v>
      </c>
      <c r="D2" s="1188" t="s">
        <v>165</v>
      </c>
      <c r="E2" s="1179" t="s">
        <v>164</v>
      </c>
      <c r="F2" s="1180"/>
      <c r="G2" s="1180"/>
      <c r="H2" s="1180"/>
      <c r="I2" s="1180"/>
      <c r="J2" s="1181"/>
      <c r="K2" s="1180" t="s">
        <v>163</v>
      </c>
      <c r="L2" s="1180"/>
      <c r="M2" s="1180"/>
      <c r="N2" s="1180"/>
      <c r="O2" s="1180"/>
      <c r="P2" s="1180"/>
      <c r="Q2" s="1180"/>
      <c r="R2" s="1176" t="s">
        <v>162</v>
      </c>
      <c r="S2" s="1177"/>
      <c r="T2" s="1177"/>
      <c r="U2" s="1177"/>
      <c r="V2" s="1177"/>
      <c r="W2" s="1177"/>
      <c r="X2" s="1170" t="s">
        <v>214</v>
      </c>
    </row>
    <row r="3" spans="1:25" s="205" customFormat="1" ht="48" customHeight="1" x14ac:dyDescent="0.2">
      <c r="A3" s="1183"/>
      <c r="B3" s="1186"/>
      <c r="C3" s="1186"/>
      <c r="D3" s="1189"/>
      <c r="E3" s="1210" t="s">
        <v>156</v>
      </c>
      <c r="F3" s="1205" t="s">
        <v>206</v>
      </c>
      <c r="G3" s="1207" t="s">
        <v>178</v>
      </c>
      <c r="H3" s="1212" t="s">
        <v>158</v>
      </c>
      <c r="I3" s="1214" t="s">
        <v>177</v>
      </c>
      <c r="J3" s="1215"/>
      <c r="K3" s="1210" t="s">
        <v>156</v>
      </c>
      <c r="L3" s="1205" t="s">
        <v>197</v>
      </c>
      <c r="M3" s="1207" t="s">
        <v>178</v>
      </c>
      <c r="N3" s="1212" t="s">
        <v>158</v>
      </c>
      <c r="O3" s="1212" t="s">
        <v>157</v>
      </c>
      <c r="P3" s="1203" t="s">
        <v>177</v>
      </c>
      <c r="Q3" s="1216"/>
      <c r="R3" s="1210" t="s">
        <v>156</v>
      </c>
      <c r="S3" s="1236" t="s">
        <v>206</v>
      </c>
      <c r="T3" s="1207" t="s">
        <v>178</v>
      </c>
      <c r="U3" s="1212" t="s">
        <v>158</v>
      </c>
      <c r="V3" s="1203" t="s">
        <v>177</v>
      </c>
      <c r="W3" s="1204"/>
      <c r="X3" s="1171"/>
    </row>
    <row r="4" spans="1:25" s="205" customFormat="1" ht="66.75" customHeight="1" thickBot="1" x14ac:dyDescent="0.25">
      <c r="A4" s="1184"/>
      <c r="B4" s="1187"/>
      <c r="C4" s="1187"/>
      <c r="D4" s="1190"/>
      <c r="E4" s="1211"/>
      <c r="F4" s="1206"/>
      <c r="G4" s="1208"/>
      <c r="H4" s="1213"/>
      <c r="I4" s="206" t="s">
        <v>148</v>
      </c>
      <c r="J4" s="323" t="s">
        <v>212</v>
      </c>
      <c r="K4" s="1211"/>
      <c r="L4" s="1206"/>
      <c r="M4" s="1208"/>
      <c r="N4" s="1213"/>
      <c r="O4" s="1213"/>
      <c r="P4" s="206" t="s">
        <v>148</v>
      </c>
      <c r="Q4" s="323" t="s">
        <v>212</v>
      </c>
      <c r="R4" s="1211"/>
      <c r="S4" s="1187"/>
      <c r="T4" s="1208"/>
      <c r="U4" s="1213"/>
      <c r="V4" s="206" t="s">
        <v>148</v>
      </c>
      <c r="W4" s="323" t="s">
        <v>212</v>
      </c>
      <c r="X4" s="1172"/>
    </row>
    <row r="5" spans="1:25" ht="16.5" thickBot="1" x14ac:dyDescent="0.3">
      <c r="A5" s="1142" t="s">
        <v>146</v>
      </c>
      <c r="B5" s="1143"/>
      <c r="C5" s="1143"/>
      <c r="D5" s="1143"/>
      <c r="E5" s="1143"/>
      <c r="F5" s="1143"/>
      <c r="G5" s="212"/>
      <c r="H5" s="212"/>
      <c r="I5" s="170"/>
      <c r="J5" s="171"/>
      <c r="K5" s="172"/>
      <c r="L5" s="173"/>
      <c r="M5" s="173"/>
      <c r="N5" s="173"/>
      <c r="O5" s="173"/>
      <c r="P5" s="174"/>
      <c r="Q5" s="174"/>
      <c r="R5" s="253"/>
      <c r="S5" s="254"/>
      <c r="T5" s="254"/>
      <c r="U5" s="254"/>
      <c r="V5" s="254"/>
      <c r="W5" s="255"/>
      <c r="X5" s="259"/>
    </row>
    <row r="6" spans="1:25" s="184" customFormat="1" ht="18.75" customHeight="1" x14ac:dyDescent="0.2">
      <c r="A6" s="1217">
        <v>1</v>
      </c>
      <c r="B6" s="1218" t="s">
        <v>145</v>
      </c>
      <c r="C6" s="1218" t="s">
        <v>6</v>
      </c>
      <c r="D6" s="176" t="s">
        <v>144</v>
      </c>
      <c r="E6" s="305" t="s">
        <v>185</v>
      </c>
      <c r="F6" s="305">
        <v>1</v>
      </c>
      <c r="G6" s="177">
        <v>65000</v>
      </c>
      <c r="H6" s="305">
        <v>1.05</v>
      </c>
      <c r="I6" s="177">
        <f t="shared" ref="I6:I38" si="0">G6*H6*F6</f>
        <v>68250</v>
      </c>
      <c r="J6" s="178">
        <f>I6*11</f>
        <v>750750</v>
      </c>
      <c r="K6" s="306"/>
      <c r="L6" s="305"/>
      <c r="M6" s="305"/>
      <c r="N6" s="305"/>
      <c r="O6" s="305"/>
      <c r="P6" s="307"/>
      <c r="Q6" s="308"/>
      <c r="R6" s="309"/>
      <c r="S6" s="305"/>
      <c r="T6" s="305"/>
      <c r="U6" s="305"/>
      <c r="V6" s="305"/>
      <c r="W6" s="310"/>
      <c r="X6" s="256">
        <f>J6+Q6+W6</f>
        <v>750750</v>
      </c>
    </row>
    <row r="7" spans="1:25" s="184" customFormat="1" ht="18.75" customHeight="1" x14ac:dyDescent="0.2">
      <c r="A7" s="1134"/>
      <c r="B7" s="1209"/>
      <c r="C7" s="1209"/>
      <c r="D7" s="179" t="s">
        <v>143</v>
      </c>
      <c r="E7" s="311" t="s">
        <v>185</v>
      </c>
      <c r="F7" s="311">
        <v>1</v>
      </c>
      <c r="G7" s="185">
        <v>65000</v>
      </c>
      <c r="H7" s="311">
        <v>1.05</v>
      </c>
      <c r="I7" s="185">
        <f t="shared" si="0"/>
        <v>68250</v>
      </c>
      <c r="J7" s="186">
        <f>I7*11</f>
        <v>750750</v>
      </c>
      <c r="K7" s="312"/>
      <c r="L7" s="311"/>
      <c r="M7" s="311"/>
      <c r="N7" s="311"/>
      <c r="O7" s="311"/>
      <c r="P7" s="200"/>
      <c r="Q7" s="313"/>
      <c r="R7" s="303"/>
      <c r="S7" s="311"/>
      <c r="T7" s="311"/>
      <c r="U7" s="311"/>
      <c r="V7" s="311"/>
      <c r="W7" s="314"/>
      <c r="X7" s="257">
        <f t="shared" ref="X7:X70" si="1">J7+Q7+W7</f>
        <v>750750</v>
      </c>
    </row>
    <row r="8" spans="1:25" s="184" customFormat="1" ht="18.75" customHeight="1" x14ac:dyDescent="0.2">
      <c r="A8" s="1134">
        <v>2</v>
      </c>
      <c r="B8" s="1209" t="s">
        <v>142</v>
      </c>
      <c r="C8" s="1209" t="s">
        <v>6</v>
      </c>
      <c r="D8" s="179" t="s">
        <v>141</v>
      </c>
      <c r="E8" s="311" t="s">
        <v>185</v>
      </c>
      <c r="F8" s="311">
        <v>1</v>
      </c>
      <c r="G8" s="185">
        <v>65000</v>
      </c>
      <c r="H8" s="311">
        <v>1.05</v>
      </c>
      <c r="I8" s="185">
        <f t="shared" si="0"/>
        <v>68250</v>
      </c>
      <c r="J8" s="186">
        <f t="shared" ref="J8:J38" si="2">I8*11</f>
        <v>750750</v>
      </c>
      <c r="K8" s="312"/>
      <c r="L8" s="311"/>
      <c r="M8" s="311"/>
      <c r="N8" s="311"/>
      <c r="O8" s="311"/>
      <c r="P8" s="200"/>
      <c r="Q8" s="313"/>
      <c r="R8" s="303"/>
      <c r="S8" s="311"/>
      <c r="T8" s="311"/>
      <c r="U8" s="311"/>
      <c r="V8" s="311"/>
      <c r="W8" s="314"/>
      <c r="X8" s="257">
        <f t="shared" si="1"/>
        <v>750750</v>
      </c>
    </row>
    <row r="9" spans="1:25" s="184" customFormat="1" ht="18.75" customHeight="1" x14ac:dyDescent="0.2">
      <c r="A9" s="1134"/>
      <c r="B9" s="1209"/>
      <c r="C9" s="1209"/>
      <c r="D9" s="179" t="s">
        <v>140</v>
      </c>
      <c r="E9" s="311" t="s">
        <v>185</v>
      </c>
      <c r="F9" s="311">
        <v>1</v>
      </c>
      <c r="G9" s="185">
        <v>65000</v>
      </c>
      <c r="H9" s="311">
        <v>1.05</v>
      </c>
      <c r="I9" s="185">
        <f t="shared" si="0"/>
        <v>68250</v>
      </c>
      <c r="J9" s="186">
        <f t="shared" si="2"/>
        <v>750750</v>
      </c>
      <c r="K9" s="312"/>
      <c r="L9" s="311"/>
      <c r="M9" s="311"/>
      <c r="N9" s="311"/>
      <c r="O9" s="311"/>
      <c r="P9" s="200"/>
      <c r="Q9" s="313"/>
      <c r="R9" s="303"/>
      <c r="S9" s="311"/>
      <c r="T9" s="311"/>
      <c r="U9" s="311"/>
      <c r="V9" s="311"/>
      <c r="W9" s="314"/>
      <c r="X9" s="257">
        <f t="shared" si="1"/>
        <v>750750</v>
      </c>
    </row>
    <row r="10" spans="1:25" s="184" customFormat="1" ht="18.75" customHeight="1" x14ac:dyDescent="0.2">
      <c r="A10" s="1134"/>
      <c r="B10" s="1209"/>
      <c r="C10" s="179" t="s">
        <v>139</v>
      </c>
      <c r="D10" s="179" t="s">
        <v>138</v>
      </c>
      <c r="E10" s="311" t="s">
        <v>186</v>
      </c>
      <c r="F10" s="311">
        <v>1</v>
      </c>
      <c r="G10" s="185">
        <v>60000</v>
      </c>
      <c r="H10" s="311">
        <v>1.05</v>
      </c>
      <c r="I10" s="185">
        <f t="shared" si="0"/>
        <v>63000</v>
      </c>
      <c r="J10" s="186">
        <f t="shared" si="2"/>
        <v>693000</v>
      </c>
      <c r="K10" s="312"/>
      <c r="L10" s="311"/>
      <c r="M10" s="311"/>
      <c r="N10" s="311"/>
      <c r="O10" s="311"/>
      <c r="P10" s="200"/>
      <c r="Q10" s="313"/>
      <c r="R10" s="303"/>
      <c r="S10" s="311"/>
      <c r="T10" s="311"/>
      <c r="U10" s="311"/>
      <c r="V10" s="311"/>
      <c r="W10" s="314"/>
      <c r="X10" s="257">
        <f t="shared" si="1"/>
        <v>693000</v>
      </c>
    </row>
    <row r="11" spans="1:25" s="184" customFormat="1" ht="18.75" customHeight="1" x14ac:dyDescent="0.2">
      <c r="A11" s="1134">
        <v>3</v>
      </c>
      <c r="B11" s="1209" t="s">
        <v>137</v>
      </c>
      <c r="C11" s="1209" t="s">
        <v>6</v>
      </c>
      <c r="D11" s="179" t="s">
        <v>136</v>
      </c>
      <c r="E11" s="311" t="s">
        <v>185</v>
      </c>
      <c r="F11" s="311">
        <v>1</v>
      </c>
      <c r="G11" s="185">
        <v>65000</v>
      </c>
      <c r="H11" s="311">
        <v>1.05</v>
      </c>
      <c r="I11" s="185">
        <f t="shared" si="0"/>
        <v>68250</v>
      </c>
      <c r="J11" s="186">
        <f t="shared" si="2"/>
        <v>750750</v>
      </c>
      <c r="K11" s="312"/>
      <c r="L11" s="311"/>
      <c r="M11" s="311"/>
      <c r="N11" s="311"/>
      <c r="O11" s="311"/>
      <c r="P11" s="200"/>
      <c r="Q11" s="313"/>
      <c r="R11" s="303"/>
      <c r="S11" s="311"/>
      <c r="T11" s="311"/>
      <c r="U11" s="311"/>
      <c r="V11" s="311"/>
      <c r="W11" s="314"/>
      <c r="X11" s="257">
        <f t="shared" si="1"/>
        <v>750750</v>
      </c>
    </row>
    <row r="12" spans="1:25" s="184" customFormat="1" ht="18.75" customHeight="1" x14ac:dyDescent="0.2">
      <c r="A12" s="1134"/>
      <c r="B12" s="1209"/>
      <c r="C12" s="1209"/>
      <c r="D12" s="179" t="s">
        <v>135</v>
      </c>
      <c r="E12" s="311" t="s">
        <v>185</v>
      </c>
      <c r="F12" s="311">
        <v>1</v>
      </c>
      <c r="G12" s="185">
        <v>65000</v>
      </c>
      <c r="H12" s="311">
        <v>1.05</v>
      </c>
      <c r="I12" s="185">
        <f t="shared" si="0"/>
        <v>68250</v>
      </c>
      <c r="J12" s="186">
        <f t="shared" si="2"/>
        <v>750750</v>
      </c>
      <c r="K12" s="312"/>
      <c r="L12" s="311"/>
      <c r="M12" s="311"/>
      <c r="N12" s="311"/>
      <c r="O12" s="311"/>
      <c r="P12" s="200"/>
      <c r="Q12" s="313"/>
      <c r="R12" s="303"/>
      <c r="S12" s="311"/>
      <c r="T12" s="311"/>
      <c r="U12" s="311"/>
      <c r="V12" s="311"/>
      <c r="W12" s="314"/>
      <c r="X12" s="257">
        <f t="shared" si="1"/>
        <v>750750</v>
      </c>
    </row>
    <row r="13" spans="1:25" s="184" customFormat="1" ht="18.75" customHeight="1" x14ac:dyDescent="0.2">
      <c r="A13" s="1134">
        <v>4</v>
      </c>
      <c r="B13" s="1209" t="s">
        <v>134</v>
      </c>
      <c r="C13" s="1209" t="s">
        <v>6</v>
      </c>
      <c r="D13" s="179" t="s">
        <v>133</v>
      </c>
      <c r="E13" s="311" t="s">
        <v>185</v>
      </c>
      <c r="F13" s="311">
        <v>1</v>
      </c>
      <c r="G13" s="185">
        <v>65000</v>
      </c>
      <c r="H13" s="311">
        <v>1.05</v>
      </c>
      <c r="I13" s="185">
        <f t="shared" si="0"/>
        <v>68250</v>
      </c>
      <c r="J13" s="186">
        <f t="shared" si="2"/>
        <v>750750</v>
      </c>
      <c r="K13" s="312"/>
      <c r="L13" s="311"/>
      <c r="M13" s="311"/>
      <c r="N13" s="311"/>
      <c r="O13" s="311"/>
      <c r="P13" s="200"/>
      <c r="Q13" s="313"/>
      <c r="R13" s="303"/>
      <c r="S13" s="311"/>
      <c r="T13" s="311"/>
      <c r="U13" s="311"/>
      <c r="V13" s="311"/>
      <c r="W13" s="314"/>
      <c r="X13" s="257">
        <f t="shared" si="1"/>
        <v>750750</v>
      </c>
    </row>
    <row r="14" spans="1:25" s="184" customFormat="1" ht="18.75" customHeight="1" x14ac:dyDescent="0.2">
      <c r="A14" s="1134"/>
      <c r="B14" s="1209"/>
      <c r="C14" s="1209"/>
      <c r="D14" s="179" t="s">
        <v>132</v>
      </c>
      <c r="E14" s="311" t="s">
        <v>185</v>
      </c>
      <c r="F14" s="311">
        <v>1</v>
      </c>
      <c r="G14" s="185">
        <v>65000</v>
      </c>
      <c r="H14" s="311">
        <v>1.05</v>
      </c>
      <c r="I14" s="185">
        <f t="shared" si="0"/>
        <v>68250</v>
      </c>
      <c r="J14" s="186">
        <f t="shared" si="2"/>
        <v>750750</v>
      </c>
      <c r="K14" s="312"/>
      <c r="L14" s="311"/>
      <c r="M14" s="311"/>
      <c r="N14" s="311"/>
      <c r="O14" s="311"/>
      <c r="P14" s="200"/>
      <c r="Q14" s="313"/>
      <c r="R14" s="303"/>
      <c r="S14" s="311"/>
      <c r="T14" s="311"/>
      <c r="U14" s="311"/>
      <c r="V14" s="311"/>
      <c r="W14" s="314"/>
      <c r="X14" s="257">
        <f t="shared" si="1"/>
        <v>750750</v>
      </c>
    </row>
    <row r="15" spans="1:25" s="184" customFormat="1" ht="18.75" customHeight="1" x14ac:dyDescent="0.2">
      <c r="A15" s="1134">
        <v>5</v>
      </c>
      <c r="B15" s="1209" t="s">
        <v>131</v>
      </c>
      <c r="C15" s="1219" t="s">
        <v>6</v>
      </c>
      <c r="D15" s="179" t="s">
        <v>130</v>
      </c>
      <c r="E15" s="311" t="s">
        <v>185</v>
      </c>
      <c r="F15" s="311">
        <v>1</v>
      </c>
      <c r="G15" s="185">
        <v>65000</v>
      </c>
      <c r="H15" s="311">
        <v>1.05</v>
      </c>
      <c r="I15" s="185">
        <f t="shared" si="0"/>
        <v>68250</v>
      </c>
      <c r="J15" s="186">
        <f t="shared" si="2"/>
        <v>750750</v>
      </c>
      <c r="K15" s="312"/>
      <c r="L15" s="311"/>
      <c r="M15" s="311"/>
      <c r="N15" s="311"/>
      <c r="O15" s="311"/>
      <c r="P15" s="200"/>
      <c r="Q15" s="313"/>
      <c r="R15" s="303"/>
      <c r="S15" s="311"/>
      <c r="T15" s="311"/>
      <c r="U15" s="311"/>
      <c r="V15" s="311"/>
      <c r="W15" s="314"/>
      <c r="X15" s="257">
        <f t="shared" si="1"/>
        <v>750750</v>
      </c>
    </row>
    <row r="16" spans="1:25" s="184" customFormat="1" ht="18.75" customHeight="1" x14ac:dyDescent="0.2">
      <c r="A16" s="1134"/>
      <c r="B16" s="1209"/>
      <c r="C16" s="1220"/>
      <c r="D16" s="179" t="s">
        <v>129</v>
      </c>
      <c r="E16" s="311" t="s">
        <v>185</v>
      </c>
      <c r="F16" s="311">
        <v>1</v>
      </c>
      <c r="G16" s="185">
        <v>65000</v>
      </c>
      <c r="H16" s="311">
        <v>1.05</v>
      </c>
      <c r="I16" s="185">
        <f t="shared" si="0"/>
        <v>68250</v>
      </c>
      <c r="J16" s="186">
        <f t="shared" si="2"/>
        <v>750750</v>
      </c>
      <c r="K16" s="312"/>
      <c r="L16" s="311"/>
      <c r="M16" s="311"/>
      <c r="N16" s="311"/>
      <c r="O16" s="311"/>
      <c r="P16" s="200"/>
      <c r="Q16" s="313"/>
      <c r="R16" s="303"/>
      <c r="S16" s="311"/>
      <c r="T16" s="311"/>
      <c r="U16" s="311"/>
      <c r="V16" s="311"/>
      <c r="W16" s="314"/>
      <c r="X16" s="257">
        <f t="shared" si="1"/>
        <v>750750</v>
      </c>
    </row>
    <row r="17" spans="1:24" s="184" customFormat="1" ht="18.75" customHeight="1" x14ac:dyDescent="0.2">
      <c r="A17" s="1134"/>
      <c r="B17" s="1209"/>
      <c r="C17" s="1221"/>
      <c r="D17" s="179" t="s">
        <v>128</v>
      </c>
      <c r="E17" s="311" t="s">
        <v>186</v>
      </c>
      <c r="F17" s="311">
        <v>1</v>
      </c>
      <c r="G17" s="185">
        <v>60000</v>
      </c>
      <c r="H17" s="311">
        <v>1.05</v>
      </c>
      <c r="I17" s="185">
        <f t="shared" si="0"/>
        <v>63000</v>
      </c>
      <c r="J17" s="186">
        <f t="shared" si="2"/>
        <v>693000</v>
      </c>
      <c r="K17" s="312"/>
      <c r="L17" s="311"/>
      <c r="M17" s="311"/>
      <c r="N17" s="311"/>
      <c r="O17" s="311"/>
      <c r="P17" s="200"/>
      <c r="Q17" s="313"/>
      <c r="R17" s="303"/>
      <c r="S17" s="311"/>
      <c r="T17" s="311"/>
      <c r="U17" s="311"/>
      <c r="V17" s="311"/>
      <c r="W17" s="314"/>
      <c r="X17" s="257">
        <f t="shared" si="1"/>
        <v>693000</v>
      </c>
    </row>
    <row r="18" spans="1:24" s="184" customFormat="1" ht="18.75" customHeight="1" x14ac:dyDescent="0.2">
      <c r="A18" s="1134">
        <v>6</v>
      </c>
      <c r="B18" s="1209" t="s">
        <v>127</v>
      </c>
      <c r="C18" s="1209" t="s">
        <v>6</v>
      </c>
      <c r="D18" s="179" t="s">
        <v>126</v>
      </c>
      <c r="E18" s="311" t="s">
        <v>185</v>
      </c>
      <c r="F18" s="311">
        <v>1</v>
      </c>
      <c r="G18" s="185">
        <v>65000</v>
      </c>
      <c r="H18" s="311">
        <v>1.05</v>
      </c>
      <c r="I18" s="185">
        <f t="shared" si="0"/>
        <v>68250</v>
      </c>
      <c r="J18" s="186">
        <f t="shared" si="2"/>
        <v>750750</v>
      </c>
      <c r="K18" s="312"/>
      <c r="L18" s="311"/>
      <c r="M18" s="311"/>
      <c r="N18" s="311"/>
      <c r="O18" s="311"/>
      <c r="P18" s="200"/>
      <c r="Q18" s="313"/>
      <c r="R18" s="303"/>
      <c r="S18" s="311"/>
      <c r="T18" s="311"/>
      <c r="U18" s="311"/>
      <c r="V18" s="311"/>
      <c r="W18" s="314"/>
      <c r="X18" s="257">
        <f t="shared" si="1"/>
        <v>750750</v>
      </c>
    </row>
    <row r="19" spans="1:24" s="184" customFormat="1" ht="18.75" customHeight="1" x14ac:dyDescent="0.2">
      <c r="A19" s="1134"/>
      <c r="B19" s="1209"/>
      <c r="C19" s="1209"/>
      <c r="D19" s="179" t="s">
        <v>125</v>
      </c>
      <c r="E19" s="311" t="s">
        <v>186</v>
      </c>
      <c r="F19" s="311">
        <v>0.5</v>
      </c>
      <c r="G19" s="185">
        <v>60000</v>
      </c>
      <c r="H19" s="311">
        <v>1.05</v>
      </c>
      <c r="I19" s="185">
        <f t="shared" si="0"/>
        <v>31500</v>
      </c>
      <c r="J19" s="186">
        <f t="shared" si="2"/>
        <v>346500</v>
      </c>
      <c r="K19" s="303"/>
      <c r="L19" s="311"/>
      <c r="M19" s="311"/>
      <c r="N19" s="311"/>
      <c r="O19" s="311"/>
      <c r="P19" s="200"/>
      <c r="Q19" s="313"/>
      <c r="R19" s="303"/>
      <c r="S19" s="311"/>
      <c r="T19" s="311"/>
      <c r="U19" s="311"/>
      <c r="V19" s="311"/>
      <c r="W19" s="314"/>
      <c r="X19" s="257">
        <f t="shared" si="1"/>
        <v>346500</v>
      </c>
    </row>
    <row r="20" spans="1:24" s="184" customFormat="1" ht="18.75" customHeight="1" x14ac:dyDescent="0.2">
      <c r="A20" s="1134"/>
      <c r="B20" s="1209"/>
      <c r="C20" s="1209"/>
      <c r="D20" s="179" t="s">
        <v>124</v>
      </c>
      <c r="E20" s="311" t="s">
        <v>186</v>
      </c>
      <c r="F20" s="311">
        <v>0.5</v>
      </c>
      <c r="G20" s="185">
        <v>60000</v>
      </c>
      <c r="H20" s="311">
        <v>1.05</v>
      </c>
      <c r="I20" s="185">
        <f t="shared" si="0"/>
        <v>31500</v>
      </c>
      <c r="J20" s="186">
        <f t="shared" si="2"/>
        <v>346500</v>
      </c>
      <c r="K20" s="303"/>
      <c r="L20" s="311"/>
      <c r="M20" s="311"/>
      <c r="N20" s="311"/>
      <c r="O20" s="311"/>
      <c r="P20" s="200"/>
      <c r="Q20" s="313"/>
      <c r="R20" s="303"/>
      <c r="S20" s="311"/>
      <c r="T20" s="311"/>
      <c r="U20" s="311"/>
      <c r="V20" s="311"/>
      <c r="W20" s="314"/>
      <c r="X20" s="257">
        <f t="shared" si="1"/>
        <v>346500</v>
      </c>
    </row>
    <row r="21" spans="1:24" s="184" customFormat="1" ht="18.75" customHeight="1" x14ac:dyDescent="0.2">
      <c r="A21" s="303">
        <v>7</v>
      </c>
      <c r="B21" s="211" t="s">
        <v>123</v>
      </c>
      <c r="C21" s="179" t="s">
        <v>6</v>
      </c>
      <c r="D21" s="179" t="s">
        <v>122</v>
      </c>
      <c r="E21" s="311" t="s">
        <v>185</v>
      </c>
      <c r="F21" s="311">
        <v>1</v>
      </c>
      <c r="G21" s="185">
        <v>65000</v>
      </c>
      <c r="H21" s="311">
        <v>1.05</v>
      </c>
      <c r="I21" s="185">
        <f t="shared" si="0"/>
        <v>68250</v>
      </c>
      <c r="J21" s="186">
        <f t="shared" si="2"/>
        <v>750750</v>
      </c>
      <c r="K21" s="312"/>
      <c r="L21" s="311"/>
      <c r="M21" s="311"/>
      <c r="N21" s="311"/>
      <c r="O21" s="311"/>
      <c r="P21" s="200"/>
      <c r="Q21" s="313"/>
      <c r="R21" s="303"/>
      <c r="S21" s="311"/>
      <c r="T21" s="311"/>
      <c r="U21" s="311"/>
      <c r="V21" s="311"/>
      <c r="W21" s="314"/>
      <c r="X21" s="257">
        <f t="shared" si="1"/>
        <v>750750</v>
      </c>
    </row>
    <row r="22" spans="1:24" s="184" customFormat="1" ht="18.75" customHeight="1" x14ac:dyDescent="0.2">
      <c r="A22" s="1134">
        <v>8</v>
      </c>
      <c r="B22" s="1209" t="s">
        <v>121</v>
      </c>
      <c r="C22" s="1209" t="s">
        <v>6</v>
      </c>
      <c r="D22" s="179" t="s">
        <v>120</v>
      </c>
      <c r="E22" s="311" t="s">
        <v>185</v>
      </c>
      <c r="F22" s="311">
        <v>1</v>
      </c>
      <c r="G22" s="185">
        <v>65000</v>
      </c>
      <c r="H22" s="311">
        <v>1.05</v>
      </c>
      <c r="I22" s="185">
        <f t="shared" si="0"/>
        <v>68250</v>
      </c>
      <c r="J22" s="186">
        <f t="shared" si="2"/>
        <v>750750</v>
      </c>
      <c r="K22" s="312"/>
      <c r="L22" s="311"/>
      <c r="M22" s="311"/>
      <c r="N22" s="311"/>
      <c r="O22" s="311"/>
      <c r="P22" s="200"/>
      <c r="Q22" s="313"/>
      <c r="R22" s="303"/>
      <c r="S22" s="311"/>
      <c r="T22" s="311"/>
      <c r="U22" s="311"/>
      <c r="V22" s="311"/>
      <c r="W22" s="314"/>
      <c r="X22" s="257">
        <f t="shared" si="1"/>
        <v>750750</v>
      </c>
    </row>
    <row r="23" spans="1:24" s="184" customFormat="1" ht="18.75" customHeight="1" x14ac:dyDescent="0.2">
      <c r="A23" s="1134"/>
      <c r="B23" s="1209"/>
      <c r="C23" s="1209"/>
      <c r="D23" s="179" t="s">
        <v>119</v>
      </c>
      <c r="E23" s="311" t="s">
        <v>185</v>
      </c>
      <c r="F23" s="311">
        <v>1</v>
      </c>
      <c r="G23" s="185">
        <v>65000</v>
      </c>
      <c r="H23" s="311">
        <v>1.05</v>
      </c>
      <c r="I23" s="185">
        <f t="shared" si="0"/>
        <v>68250</v>
      </c>
      <c r="J23" s="186">
        <f t="shared" si="2"/>
        <v>750750</v>
      </c>
      <c r="K23" s="312"/>
      <c r="L23" s="311"/>
      <c r="M23" s="311"/>
      <c r="N23" s="311"/>
      <c r="O23" s="311"/>
      <c r="P23" s="200"/>
      <c r="Q23" s="313"/>
      <c r="R23" s="303"/>
      <c r="S23" s="311"/>
      <c r="T23" s="311"/>
      <c r="U23" s="311"/>
      <c r="V23" s="311"/>
      <c r="W23" s="314"/>
      <c r="X23" s="257">
        <f t="shared" si="1"/>
        <v>750750</v>
      </c>
    </row>
    <row r="24" spans="1:24" s="184" customFormat="1" ht="18.75" customHeight="1" x14ac:dyDescent="0.2">
      <c r="A24" s="1224">
        <v>9</v>
      </c>
      <c r="B24" s="1219" t="s">
        <v>118</v>
      </c>
      <c r="C24" s="1227" t="s">
        <v>6</v>
      </c>
      <c r="D24" s="179" t="s">
        <v>117</v>
      </c>
      <c r="E24" s="311" t="s">
        <v>186</v>
      </c>
      <c r="F24" s="311">
        <v>1</v>
      </c>
      <c r="G24" s="185">
        <v>60000</v>
      </c>
      <c r="H24" s="311">
        <v>1.05</v>
      </c>
      <c r="I24" s="185">
        <f t="shared" si="0"/>
        <v>63000</v>
      </c>
      <c r="J24" s="186">
        <f t="shared" si="2"/>
        <v>693000</v>
      </c>
      <c r="K24" s="312"/>
      <c r="L24" s="311"/>
      <c r="M24" s="311"/>
      <c r="N24" s="311"/>
      <c r="O24" s="311"/>
      <c r="P24" s="200"/>
      <c r="Q24" s="313"/>
      <c r="R24" s="303"/>
      <c r="S24" s="311"/>
      <c r="T24" s="311"/>
      <c r="U24" s="311"/>
      <c r="V24" s="311"/>
      <c r="W24" s="314"/>
      <c r="X24" s="257">
        <f t="shared" si="1"/>
        <v>693000</v>
      </c>
    </row>
    <row r="25" spans="1:24" s="184" customFormat="1" ht="18.75" customHeight="1" x14ac:dyDescent="0.2">
      <c r="A25" s="1225"/>
      <c r="B25" s="1220"/>
      <c r="C25" s="1228"/>
      <c r="D25" s="179" t="s">
        <v>116</v>
      </c>
      <c r="E25" s="311" t="s">
        <v>185</v>
      </c>
      <c r="F25" s="311">
        <v>1</v>
      </c>
      <c r="G25" s="185">
        <v>65000</v>
      </c>
      <c r="H25" s="311">
        <v>1.05</v>
      </c>
      <c r="I25" s="185">
        <f t="shared" si="0"/>
        <v>68250</v>
      </c>
      <c r="J25" s="186">
        <f t="shared" si="2"/>
        <v>750750</v>
      </c>
      <c r="K25" s="312"/>
      <c r="L25" s="311"/>
      <c r="M25" s="311"/>
      <c r="N25" s="311"/>
      <c r="O25" s="311"/>
      <c r="P25" s="200"/>
      <c r="Q25" s="313"/>
      <c r="R25" s="303"/>
      <c r="S25" s="311"/>
      <c r="T25" s="311"/>
      <c r="U25" s="311"/>
      <c r="V25" s="311"/>
      <c r="W25" s="314"/>
      <c r="X25" s="257">
        <f t="shared" si="1"/>
        <v>750750</v>
      </c>
    </row>
    <row r="26" spans="1:24" s="184" customFormat="1" ht="18.75" customHeight="1" x14ac:dyDescent="0.2">
      <c r="A26" s="1225"/>
      <c r="B26" s="1220"/>
      <c r="C26" s="1228"/>
      <c r="D26" s="179" t="s">
        <v>115</v>
      </c>
      <c r="E26" s="311" t="s">
        <v>185</v>
      </c>
      <c r="F26" s="311">
        <v>1</v>
      </c>
      <c r="G26" s="185">
        <v>65000</v>
      </c>
      <c r="H26" s="311">
        <v>1.05</v>
      </c>
      <c r="I26" s="185">
        <f t="shared" si="0"/>
        <v>68250</v>
      </c>
      <c r="J26" s="186">
        <f t="shared" si="2"/>
        <v>750750</v>
      </c>
      <c r="K26" s="312"/>
      <c r="L26" s="311"/>
      <c r="M26" s="311"/>
      <c r="N26" s="311"/>
      <c r="O26" s="311"/>
      <c r="P26" s="200"/>
      <c r="Q26" s="313"/>
      <c r="R26" s="303"/>
      <c r="S26" s="311"/>
      <c r="T26" s="311"/>
      <c r="U26" s="311"/>
      <c r="V26" s="311"/>
      <c r="W26" s="314"/>
      <c r="X26" s="257">
        <f t="shared" si="1"/>
        <v>750750</v>
      </c>
    </row>
    <row r="27" spans="1:24" s="184" customFormat="1" ht="18.75" customHeight="1" x14ac:dyDescent="0.2">
      <c r="A27" s="1225"/>
      <c r="B27" s="1220"/>
      <c r="C27" s="1228"/>
      <c r="D27" s="179" t="s">
        <v>188</v>
      </c>
      <c r="E27" s="311" t="s">
        <v>185</v>
      </c>
      <c r="F27" s="311">
        <v>1</v>
      </c>
      <c r="G27" s="185">
        <v>65000</v>
      </c>
      <c r="H27" s="311">
        <v>1.05</v>
      </c>
      <c r="I27" s="185">
        <f t="shared" si="0"/>
        <v>68250</v>
      </c>
      <c r="J27" s="186">
        <f t="shared" si="2"/>
        <v>750750</v>
      </c>
      <c r="K27" s="312"/>
      <c r="L27" s="311"/>
      <c r="M27" s="311"/>
      <c r="N27" s="311"/>
      <c r="O27" s="311"/>
      <c r="P27" s="200"/>
      <c r="Q27" s="313"/>
      <c r="R27" s="303"/>
      <c r="S27" s="311"/>
      <c r="T27" s="311"/>
      <c r="U27" s="311"/>
      <c r="V27" s="311"/>
      <c r="W27" s="314"/>
      <c r="X27" s="257">
        <f t="shared" si="1"/>
        <v>750750</v>
      </c>
    </row>
    <row r="28" spans="1:24" s="184" customFormat="1" ht="18.75" customHeight="1" x14ac:dyDescent="0.2">
      <c r="A28" s="1226"/>
      <c r="B28" s="1221"/>
      <c r="C28" s="1229"/>
      <c r="D28" s="179" t="s">
        <v>187</v>
      </c>
      <c r="E28" s="311" t="s">
        <v>185</v>
      </c>
      <c r="F28" s="311">
        <v>1</v>
      </c>
      <c r="G28" s="185">
        <v>65000</v>
      </c>
      <c r="H28" s="311">
        <v>1.05</v>
      </c>
      <c r="I28" s="185">
        <f t="shared" si="0"/>
        <v>68250</v>
      </c>
      <c r="J28" s="186">
        <f t="shared" si="2"/>
        <v>750750</v>
      </c>
      <c r="K28" s="312"/>
      <c r="L28" s="311"/>
      <c r="M28" s="311"/>
      <c r="N28" s="311"/>
      <c r="O28" s="311"/>
      <c r="P28" s="200"/>
      <c r="Q28" s="313"/>
      <c r="R28" s="303"/>
      <c r="S28" s="311"/>
      <c r="T28" s="311"/>
      <c r="U28" s="311"/>
      <c r="V28" s="311"/>
      <c r="W28" s="314"/>
      <c r="X28" s="257">
        <f t="shared" si="1"/>
        <v>750750</v>
      </c>
    </row>
    <row r="29" spans="1:24" s="184" customFormat="1" ht="18.75" customHeight="1" x14ac:dyDescent="0.2">
      <c r="A29" s="1134">
        <v>10</v>
      </c>
      <c r="B29" s="1209" t="s">
        <v>114</v>
      </c>
      <c r="C29" s="1209" t="s">
        <v>6</v>
      </c>
      <c r="D29" s="179" t="s">
        <v>113</v>
      </c>
      <c r="E29" s="311" t="s">
        <v>185</v>
      </c>
      <c r="F29" s="311">
        <v>1</v>
      </c>
      <c r="G29" s="185">
        <v>65000</v>
      </c>
      <c r="H29" s="311">
        <v>1.05</v>
      </c>
      <c r="I29" s="185">
        <f t="shared" si="0"/>
        <v>68250</v>
      </c>
      <c r="J29" s="186">
        <f t="shared" si="2"/>
        <v>750750</v>
      </c>
      <c r="K29" s="312"/>
      <c r="L29" s="311"/>
      <c r="M29" s="311"/>
      <c r="N29" s="311"/>
      <c r="O29" s="311"/>
      <c r="P29" s="200"/>
      <c r="Q29" s="313"/>
      <c r="R29" s="303"/>
      <c r="S29" s="311"/>
      <c r="T29" s="311"/>
      <c r="U29" s="311"/>
      <c r="V29" s="311"/>
      <c r="W29" s="314"/>
      <c r="X29" s="257">
        <f t="shared" si="1"/>
        <v>750750</v>
      </c>
    </row>
    <row r="30" spans="1:24" s="184" customFormat="1" ht="18.75" customHeight="1" x14ac:dyDescent="0.2">
      <c r="A30" s="1134"/>
      <c r="B30" s="1209"/>
      <c r="C30" s="1209"/>
      <c r="D30" s="179" t="s">
        <v>112</v>
      </c>
      <c r="E30" s="311" t="s">
        <v>185</v>
      </c>
      <c r="F30" s="311">
        <v>1</v>
      </c>
      <c r="G30" s="185">
        <v>65000</v>
      </c>
      <c r="H30" s="311">
        <v>1.05</v>
      </c>
      <c r="I30" s="185">
        <f t="shared" si="0"/>
        <v>68250</v>
      </c>
      <c r="J30" s="186">
        <f t="shared" si="2"/>
        <v>750750</v>
      </c>
      <c r="K30" s="312"/>
      <c r="L30" s="311"/>
      <c r="M30" s="311"/>
      <c r="N30" s="311"/>
      <c r="O30" s="311"/>
      <c r="P30" s="200"/>
      <c r="Q30" s="313"/>
      <c r="R30" s="303"/>
      <c r="S30" s="311"/>
      <c r="T30" s="311"/>
      <c r="U30" s="311"/>
      <c r="V30" s="311"/>
      <c r="W30" s="314"/>
      <c r="X30" s="257">
        <f t="shared" si="1"/>
        <v>750750</v>
      </c>
    </row>
    <row r="31" spans="1:24" s="184" customFormat="1" ht="18.75" customHeight="1" x14ac:dyDescent="0.2">
      <c r="A31" s="303">
        <v>11</v>
      </c>
      <c r="B31" s="179" t="s">
        <v>111</v>
      </c>
      <c r="C31" s="179" t="s">
        <v>6</v>
      </c>
      <c r="D31" s="179" t="s">
        <v>110</v>
      </c>
      <c r="E31" s="311" t="s">
        <v>185</v>
      </c>
      <c r="F31" s="311">
        <v>1</v>
      </c>
      <c r="G31" s="185">
        <v>65000</v>
      </c>
      <c r="H31" s="311">
        <v>1.05</v>
      </c>
      <c r="I31" s="185">
        <f t="shared" si="0"/>
        <v>68250</v>
      </c>
      <c r="J31" s="186">
        <f t="shared" si="2"/>
        <v>750750</v>
      </c>
      <c r="K31" s="312"/>
      <c r="L31" s="311"/>
      <c r="M31" s="311"/>
      <c r="N31" s="311"/>
      <c r="O31" s="311"/>
      <c r="P31" s="200"/>
      <c r="Q31" s="313"/>
      <c r="R31" s="303"/>
      <c r="S31" s="311"/>
      <c r="T31" s="311"/>
      <c r="U31" s="311"/>
      <c r="V31" s="311"/>
      <c r="W31" s="314"/>
      <c r="X31" s="257">
        <f t="shared" si="1"/>
        <v>750750</v>
      </c>
    </row>
    <row r="32" spans="1:24" s="184" customFormat="1" ht="18.75" customHeight="1" x14ac:dyDescent="0.2">
      <c r="A32" s="1134">
        <v>12</v>
      </c>
      <c r="B32" s="1209" t="s">
        <v>109</v>
      </c>
      <c r="C32" s="1209" t="s">
        <v>6</v>
      </c>
      <c r="D32" s="179" t="s">
        <v>108</v>
      </c>
      <c r="E32" s="311" t="s">
        <v>185</v>
      </c>
      <c r="F32" s="311">
        <v>1</v>
      </c>
      <c r="G32" s="185">
        <v>65000</v>
      </c>
      <c r="H32" s="311">
        <v>1.05</v>
      </c>
      <c r="I32" s="185">
        <f t="shared" si="0"/>
        <v>68250</v>
      </c>
      <c r="J32" s="186">
        <f t="shared" si="2"/>
        <v>750750</v>
      </c>
      <c r="K32" s="312"/>
      <c r="L32" s="311"/>
      <c r="M32" s="311"/>
      <c r="N32" s="311"/>
      <c r="O32" s="311"/>
      <c r="P32" s="200"/>
      <c r="Q32" s="313"/>
      <c r="R32" s="303"/>
      <c r="S32" s="311"/>
      <c r="T32" s="311"/>
      <c r="U32" s="311"/>
      <c r="V32" s="311"/>
      <c r="W32" s="314"/>
      <c r="X32" s="257">
        <f t="shared" si="1"/>
        <v>750750</v>
      </c>
    </row>
    <row r="33" spans="1:27" s="184" customFormat="1" ht="18.75" customHeight="1" x14ac:dyDescent="0.2">
      <c r="A33" s="1134"/>
      <c r="B33" s="1209"/>
      <c r="C33" s="1209"/>
      <c r="D33" s="179" t="s">
        <v>107</v>
      </c>
      <c r="E33" s="311" t="s">
        <v>185</v>
      </c>
      <c r="F33" s="311">
        <v>1</v>
      </c>
      <c r="G33" s="185">
        <v>65000</v>
      </c>
      <c r="H33" s="311">
        <v>1.05</v>
      </c>
      <c r="I33" s="185">
        <f t="shared" si="0"/>
        <v>68250</v>
      </c>
      <c r="J33" s="186">
        <f t="shared" si="2"/>
        <v>750750</v>
      </c>
      <c r="K33" s="312"/>
      <c r="L33" s="311"/>
      <c r="M33" s="311"/>
      <c r="N33" s="311"/>
      <c r="O33" s="311"/>
      <c r="P33" s="200"/>
      <c r="Q33" s="313"/>
      <c r="R33" s="303"/>
      <c r="S33" s="311"/>
      <c r="T33" s="311"/>
      <c r="U33" s="311"/>
      <c r="V33" s="311"/>
      <c r="W33" s="314"/>
      <c r="X33" s="257">
        <f t="shared" si="1"/>
        <v>750750</v>
      </c>
    </row>
    <row r="34" spans="1:27" s="184" customFormat="1" ht="18.75" customHeight="1" x14ac:dyDescent="0.2">
      <c r="A34" s="303">
        <v>13</v>
      </c>
      <c r="B34" s="179" t="s">
        <v>106</v>
      </c>
      <c r="C34" s="179" t="s">
        <v>6</v>
      </c>
      <c r="D34" s="179" t="s">
        <v>105</v>
      </c>
      <c r="E34" s="311" t="s">
        <v>185</v>
      </c>
      <c r="F34" s="311">
        <v>1</v>
      </c>
      <c r="G34" s="185">
        <v>65000</v>
      </c>
      <c r="H34" s="311">
        <v>1.05</v>
      </c>
      <c r="I34" s="185">
        <f t="shared" si="0"/>
        <v>68250</v>
      </c>
      <c r="J34" s="186">
        <f t="shared" si="2"/>
        <v>750750</v>
      </c>
      <c r="K34" s="312"/>
      <c r="L34" s="311"/>
      <c r="M34" s="311"/>
      <c r="N34" s="311"/>
      <c r="O34" s="311"/>
      <c r="P34" s="200"/>
      <c r="Q34" s="313"/>
      <c r="R34" s="303"/>
      <c r="S34" s="311"/>
      <c r="T34" s="311"/>
      <c r="U34" s="311"/>
      <c r="V34" s="311"/>
      <c r="W34" s="314"/>
      <c r="X34" s="257">
        <f t="shared" si="1"/>
        <v>750750</v>
      </c>
    </row>
    <row r="35" spans="1:27" s="184" customFormat="1" ht="18.75" customHeight="1" x14ac:dyDescent="0.2">
      <c r="A35" s="303">
        <v>14</v>
      </c>
      <c r="B35" s="179" t="s">
        <v>104</v>
      </c>
      <c r="C35" s="179" t="s">
        <v>6</v>
      </c>
      <c r="D35" s="179" t="s">
        <v>103</v>
      </c>
      <c r="E35" s="311" t="s">
        <v>185</v>
      </c>
      <c r="F35" s="311">
        <v>1</v>
      </c>
      <c r="G35" s="185">
        <v>65000</v>
      </c>
      <c r="H35" s="311">
        <v>1.05</v>
      </c>
      <c r="I35" s="185">
        <f t="shared" si="0"/>
        <v>68250</v>
      </c>
      <c r="J35" s="186">
        <f t="shared" si="2"/>
        <v>750750</v>
      </c>
      <c r="K35" s="312"/>
      <c r="L35" s="311"/>
      <c r="M35" s="311"/>
      <c r="N35" s="311"/>
      <c r="O35" s="311"/>
      <c r="P35" s="200"/>
      <c r="Q35" s="313"/>
      <c r="R35" s="303"/>
      <c r="S35" s="311"/>
      <c r="T35" s="311"/>
      <c r="U35" s="311"/>
      <c r="V35" s="311"/>
      <c r="W35" s="314"/>
      <c r="X35" s="257">
        <f t="shared" si="1"/>
        <v>750750</v>
      </c>
    </row>
    <row r="36" spans="1:27" s="184" customFormat="1" ht="18.75" customHeight="1" x14ac:dyDescent="0.2">
      <c r="A36" s="303">
        <v>15</v>
      </c>
      <c r="B36" s="179" t="s">
        <v>102</v>
      </c>
      <c r="C36" s="179" t="s">
        <v>101</v>
      </c>
      <c r="D36" s="179" t="s">
        <v>100</v>
      </c>
      <c r="E36" s="311" t="s">
        <v>185</v>
      </c>
      <c r="F36" s="311">
        <v>1</v>
      </c>
      <c r="G36" s="185">
        <v>65000</v>
      </c>
      <c r="H36" s="311">
        <v>1.05</v>
      </c>
      <c r="I36" s="185">
        <f t="shared" si="0"/>
        <v>68250</v>
      </c>
      <c r="J36" s="186">
        <f t="shared" si="2"/>
        <v>750750</v>
      </c>
      <c r="K36" s="312"/>
      <c r="L36" s="311"/>
      <c r="M36" s="311"/>
      <c r="N36" s="311"/>
      <c r="O36" s="311"/>
      <c r="P36" s="200"/>
      <c r="Q36" s="313"/>
      <c r="R36" s="303"/>
      <c r="S36" s="311"/>
      <c r="T36" s="311"/>
      <c r="U36" s="311"/>
      <c r="V36" s="311"/>
      <c r="W36" s="314"/>
      <c r="X36" s="257">
        <f t="shared" si="1"/>
        <v>750750</v>
      </c>
    </row>
    <row r="37" spans="1:27" s="184" customFormat="1" ht="18.75" customHeight="1" x14ac:dyDescent="0.2">
      <c r="A37" s="303">
        <v>16</v>
      </c>
      <c r="B37" s="179" t="s">
        <v>99</v>
      </c>
      <c r="C37" s="179" t="s">
        <v>6</v>
      </c>
      <c r="D37" s="179" t="s">
        <v>98</v>
      </c>
      <c r="E37" s="311" t="s">
        <v>185</v>
      </c>
      <c r="F37" s="311">
        <v>1</v>
      </c>
      <c r="G37" s="185">
        <v>65000</v>
      </c>
      <c r="H37" s="311">
        <v>1.05</v>
      </c>
      <c r="I37" s="185">
        <f t="shared" si="0"/>
        <v>68250</v>
      </c>
      <c r="J37" s="186">
        <f t="shared" si="2"/>
        <v>750750</v>
      </c>
      <c r="K37" s="312"/>
      <c r="L37" s="311"/>
      <c r="M37" s="311"/>
      <c r="N37" s="311"/>
      <c r="O37" s="311"/>
      <c r="P37" s="200"/>
      <c r="Q37" s="313"/>
      <c r="R37" s="303"/>
      <c r="S37" s="311"/>
      <c r="T37" s="311"/>
      <c r="U37" s="311"/>
      <c r="V37" s="311"/>
      <c r="W37" s="314"/>
      <c r="X37" s="257">
        <f t="shared" si="1"/>
        <v>750750</v>
      </c>
    </row>
    <row r="38" spans="1:27" s="184" customFormat="1" ht="18.75" customHeight="1" x14ac:dyDescent="0.2">
      <c r="A38" s="303">
        <v>17</v>
      </c>
      <c r="B38" s="179" t="s">
        <v>97</v>
      </c>
      <c r="C38" s="179"/>
      <c r="D38" s="179" t="s">
        <v>200</v>
      </c>
      <c r="E38" s="311" t="s">
        <v>185</v>
      </c>
      <c r="F38" s="311">
        <v>1</v>
      </c>
      <c r="G38" s="185">
        <v>65000</v>
      </c>
      <c r="H38" s="311">
        <v>1.05</v>
      </c>
      <c r="I38" s="185">
        <f t="shared" si="0"/>
        <v>68250</v>
      </c>
      <c r="J38" s="186">
        <f t="shared" si="2"/>
        <v>750750</v>
      </c>
      <c r="K38" s="312"/>
      <c r="L38" s="311"/>
      <c r="M38" s="311"/>
      <c r="N38" s="311"/>
      <c r="O38" s="311"/>
      <c r="P38" s="200"/>
      <c r="Q38" s="313"/>
      <c r="R38" s="303"/>
      <c r="S38" s="311"/>
      <c r="T38" s="311"/>
      <c r="U38" s="311"/>
      <c r="V38" s="311"/>
      <c r="W38" s="314"/>
      <c r="X38" s="257">
        <f t="shared" si="1"/>
        <v>750750</v>
      </c>
    </row>
    <row r="39" spans="1:27" s="189" customFormat="1" ht="18.75" customHeight="1" x14ac:dyDescent="0.2">
      <c r="A39" s="240"/>
      <c r="B39" s="241" t="s">
        <v>1</v>
      </c>
      <c r="C39" s="241"/>
      <c r="D39" s="242"/>
      <c r="E39" s="243"/>
      <c r="F39" s="243">
        <f>SUM(F6:F38)</f>
        <v>32</v>
      </c>
      <c r="G39" s="243"/>
      <c r="H39" s="243"/>
      <c r="I39" s="243"/>
      <c r="J39" s="245">
        <f>SUM(J6:J38)</f>
        <v>23793000</v>
      </c>
      <c r="K39" s="244"/>
      <c r="L39" s="243"/>
      <c r="M39" s="243"/>
      <c r="N39" s="243"/>
      <c r="O39" s="243"/>
      <c r="P39" s="243"/>
      <c r="Q39" s="245"/>
      <c r="R39" s="244"/>
      <c r="S39" s="243"/>
      <c r="T39" s="243"/>
      <c r="U39" s="243"/>
      <c r="V39" s="243"/>
      <c r="W39" s="245"/>
      <c r="X39" s="258">
        <f t="shared" si="1"/>
        <v>23793000</v>
      </c>
      <c r="Y39" s="235"/>
      <c r="Z39" s="236"/>
      <c r="AA39" s="188"/>
    </row>
    <row r="40" spans="1:27" s="196" customFormat="1" ht="18.75" customHeight="1" x14ac:dyDescent="0.2">
      <c r="A40" s="209" t="s">
        <v>96</v>
      </c>
      <c r="B40" s="190"/>
      <c r="C40" s="191"/>
      <c r="D40" s="208"/>
      <c r="E40" s="208"/>
      <c r="F40" s="208"/>
      <c r="G40" s="191"/>
      <c r="H40" s="179"/>
      <c r="I40" s="185"/>
      <c r="J40" s="186"/>
      <c r="K40" s="187"/>
      <c r="L40" s="179"/>
      <c r="M40" s="179"/>
      <c r="N40" s="179"/>
      <c r="O40" s="179"/>
      <c r="P40" s="180"/>
      <c r="Q40" s="192"/>
      <c r="R40" s="193"/>
      <c r="S40" s="194"/>
      <c r="T40" s="194"/>
      <c r="U40" s="194"/>
      <c r="V40" s="194"/>
      <c r="W40" s="195"/>
      <c r="X40" s="257"/>
    </row>
    <row r="41" spans="1:27" s="196" customFormat="1" ht="18.75" customHeight="1" x14ac:dyDescent="0.2">
      <c r="A41" s="182">
        <v>1</v>
      </c>
      <c r="B41" s="208" t="s">
        <v>95</v>
      </c>
      <c r="C41" s="179" t="s">
        <v>6</v>
      </c>
      <c r="D41" s="197" t="s">
        <v>94</v>
      </c>
      <c r="E41" s="198"/>
      <c r="F41" s="198"/>
      <c r="G41" s="185"/>
      <c r="H41" s="311"/>
      <c r="I41" s="185"/>
      <c r="J41" s="186">
        <f>I41*11</f>
        <v>0</v>
      </c>
      <c r="K41" s="303">
        <v>1285</v>
      </c>
      <c r="L41" s="311">
        <v>1</v>
      </c>
      <c r="M41" s="200">
        <v>85000</v>
      </c>
      <c r="N41" s="311">
        <v>1.05</v>
      </c>
      <c r="O41" s="311">
        <v>1.1000000000000001</v>
      </c>
      <c r="P41" s="200">
        <f>M41*N41*O41*L41</f>
        <v>98175.000000000015</v>
      </c>
      <c r="Q41" s="313">
        <f>P41*11</f>
        <v>1079925.0000000002</v>
      </c>
      <c r="R41" s="304"/>
      <c r="S41" s="315"/>
      <c r="T41" s="315"/>
      <c r="U41" s="315"/>
      <c r="V41" s="315"/>
      <c r="W41" s="316"/>
      <c r="X41" s="257">
        <f t="shared" si="1"/>
        <v>1079925.0000000002</v>
      </c>
    </row>
    <row r="42" spans="1:27" s="196" customFormat="1" ht="18.75" customHeight="1" x14ac:dyDescent="0.2">
      <c r="A42" s="182">
        <v>2</v>
      </c>
      <c r="B42" s="208" t="s">
        <v>93</v>
      </c>
      <c r="C42" s="179" t="s">
        <v>6</v>
      </c>
      <c r="D42" s="197" t="s">
        <v>92</v>
      </c>
      <c r="E42" s="198"/>
      <c r="F42" s="198"/>
      <c r="G42" s="185"/>
      <c r="H42" s="311"/>
      <c r="I42" s="185"/>
      <c r="J42" s="186">
        <f t="shared" ref="J42:J104" si="3">I42*11</f>
        <v>0</v>
      </c>
      <c r="K42" s="303">
        <v>950</v>
      </c>
      <c r="L42" s="311">
        <v>1</v>
      </c>
      <c r="M42" s="200">
        <v>80000</v>
      </c>
      <c r="N42" s="311">
        <v>1.05</v>
      </c>
      <c r="O42" s="311">
        <v>1</v>
      </c>
      <c r="P42" s="200">
        <f t="shared" ref="P42:P104" si="4">M42*N42*O42*L42</f>
        <v>84000</v>
      </c>
      <c r="Q42" s="313">
        <f t="shared" ref="Q42:Q104" si="5">P42*11</f>
        <v>924000</v>
      </c>
      <c r="R42" s="304"/>
      <c r="S42" s="315"/>
      <c r="T42" s="315"/>
      <c r="U42" s="315"/>
      <c r="V42" s="315"/>
      <c r="W42" s="316"/>
      <c r="X42" s="257">
        <f t="shared" si="1"/>
        <v>924000</v>
      </c>
    </row>
    <row r="43" spans="1:27" s="196" customFormat="1" ht="18.75" customHeight="1" x14ac:dyDescent="0.2">
      <c r="A43" s="182">
        <v>3</v>
      </c>
      <c r="B43" s="208" t="s">
        <v>91</v>
      </c>
      <c r="C43" s="179" t="s">
        <v>6</v>
      </c>
      <c r="D43" s="197" t="s">
        <v>179</v>
      </c>
      <c r="E43" s="198"/>
      <c r="F43" s="198"/>
      <c r="G43" s="185"/>
      <c r="H43" s="311"/>
      <c r="I43" s="185"/>
      <c r="J43" s="186">
        <f t="shared" si="3"/>
        <v>0</v>
      </c>
      <c r="K43" s="303">
        <v>1137</v>
      </c>
      <c r="L43" s="311">
        <v>1</v>
      </c>
      <c r="M43" s="200">
        <v>85000</v>
      </c>
      <c r="N43" s="311">
        <v>1.05</v>
      </c>
      <c r="O43" s="311">
        <v>1</v>
      </c>
      <c r="P43" s="200">
        <f t="shared" si="4"/>
        <v>89250</v>
      </c>
      <c r="Q43" s="313">
        <f t="shared" si="5"/>
        <v>981750</v>
      </c>
      <c r="R43" s="304"/>
      <c r="S43" s="315"/>
      <c r="T43" s="315"/>
      <c r="U43" s="315"/>
      <c r="V43" s="315"/>
      <c r="W43" s="316"/>
      <c r="X43" s="257">
        <f t="shared" si="1"/>
        <v>981750</v>
      </c>
    </row>
    <row r="44" spans="1:27" s="196" customFormat="1" ht="18.75" customHeight="1" x14ac:dyDescent="0.2">
      <c r="A44" s="182">
        <v>4</v>
      </c>
      <c r="B44" s="208" t="s">
        <v>90</v>
      </c>
      <c r="C44" s="179" t="s">
        <v>6</v>
      </c>
      <c r="D44" s="197" t="s">
        <v>180</v>
      </c>
      <c r="E44" s="198"/>
      <c r="F44" s="198"/>
      <c r="G44" s="185"/>
      <c r="H44" s="311"/>
      <c r="I44" s="185"/>
      <c r="J44" s="186">
        <f t="shared" si="3"/>
        <v>0</v>
      </c>
      <c r="K44" s="303">
        <f>445+69</f>
        <v>514</v>
      </c>
      <c r="L44" s="311">
        <v>1</v>
      </c>
      <c r="M44" s="200">
        <v>75000</v>
      </c>
      <c r="N44" s="311">
        <v>1.05</v>
      </c>
      <c r="O44" s="311">
        <v>1</v>
      </c>
      <c r="P44" s="200">
        <f t="shared" si="4"/>
        <v>78750</v>
      </c>
      <c r="Q44" s="313">
        <f t="shared" si="5"/>
        <v>866250</v>
      </c>
      <c r="R44" s="304"/>
      <c r="S44" s="315"/>
      <c r="T44" s="315"/>
      <c r="U44" s="315"/>
      <c r="V44" s="315"/>
      <c r="W44" s="316"/>
      <c r="X44" s="257">
        <f t="shared" si="1"/>
        <v>866250</v>
      </c>
    </row>
    <row r="45" spans="1:27" s="196" customFormat="1" ht="18.75" customHeight="1" x14ac:dyDescent="0.2">
      <c r="A45" s="182">
        <v>5</v>
      </c>
      <c r="B45" s="208" t="s">
        <v>89</v>
      </c>
      <c r="C45" s="179" t="s">
        <v>6</v>
      </c>
      <c r="D45" s="197" t="s">
        <v>88</v>
      </c>
      <c r="E45" s="198"/>
      <c r="F45" s="198"/>
      <c r="G45" s="185"/>
      <c r="H45" s="311"/>
      <c r="I45" s="185"/>
      <c r="J45" s="186">
        <f t="shared" si="3"/>
        <v>0</v>
      </c>
      <c r="K45" s="303">
        <v>1167</v>
      </c>
      <c r="L45" s="311">
        <v>1</v>
      </c>
      <c r="M45" s="200">
        <v>85000</v>
      </c>
      <c r="N45" s="311">
        <v>1.05</v>
      </c>
      <c r="O45" s="311">
        <v>1.1000000000000001</v>
      </c>
      <c r="P45" s="200">
        <f t="shared" si="4"/>
        <v>98175.000000000015</v>
      </c>
      <c r="Q45" s="313">
        <f t="shared" si="5"/>
        <v>1079925.0000000002</v>
      </c>
      <c r="R45" s="304"/>
      <c r="S45" s="315"/>
      <c r="T45" s="315"/>
      <c r="U45" s="315"/>
      <c r="V45" s="315"/>
      <c r="W45" s="316"/>
      <c r="X45" s="257">
        <f t="shared" si="1"/>
        <v>1079925.0000000002</v>
      </c>
    </row>
    <row r="46" spans="1:27" s="196" customFormat="1" ht="18.75" customHeight="1" x14ac:dyDescent="0.2">
      <c r="A46" s="1131">
        <v>6</v>
      </c>
      <c r="B46" s="1222" t="s">
        <v>87</v>
      </c>
      <c r="C46" s="1222" t="s">
        <v>6</v>
      </c>
      <c r="D46" s="197" t="s">
        <v>85</v>
      </c>
      <c r="E46" s="198"/>
      <c r="F46" s="198"/>
      <c r="G46" s="185"/>
      <c r="H46" s="311"/>
      <c r="I46" s="185"/>
      <c r="J46" s="186">
        <f t="shared" si="3"/>
        <v>0</v>
      </c>
      <c r="K46" s="303">
        <v>1133</v>
      </c>
      <c r="L46" s="311">
        <v>1</v>
      </c>
      <c r="M46" s="200">
        <v>85000</v>
      </c>
      <c r="N46" s="311">
        <v>1.05</v>
      </c>
      <c r="O46" s="311">
        <v>1</v>
      </c>
      <c r="P46" s="200">
        <f t="shared" si="4"/>
        <v>89250</v>
      </c>
      <c r="Q46" s="313">
        <f t="shared" si="5"/>
        <v>981750</v>
      </c>
      <c r="R46" s="304"/>
      <c r="S46" s="315"/>
      <c r="T46" s="315"/>
      <c r="U46" s="315"/>
      <c r="V46" s="315"/>
      <c r="W46" s="316"/>
      <c r="X46" s="257">
        <f t="shared" si="1"/>
        <v>981750</v>
      </c>
    </row>
    <row r="47" spans="1:27" s="196" customFormat="1" ht="18.75" customHeight="1" x14ac:dyDescent="0.2">
      <c r="A47" s="1133"/>
      <c r="B47" s="1223"/>
      <c r="C47" s="1223"/>
      <c r="D47" s="197" t="s">
        <v>86</v>
      </c>
      <c r="E47" s="198" t="s">
        <v>185</v>
      </c>
      <c r="F47" s="198">
        <v>1</v>
      </c>
      <c r="G47" s="185">
        <v>65000</v>
      </c>
      <c r="H47" s="311">
        <v>1.05</v>
      </c>
      <c r="I47" s="185">
        <f>G47*H47*F47</f>
        <v>68250</v>
      </c>
      <c r="J47" s="186">
        <f t="shared" si="3"/>
        <v>750750</v>
      </c>
      <c r="K47" s="303"/>
      <c r="L47" s="311"/>
      <c r="M47" s="200"/>
      <c r="N47" s="311"/>
      <c r="O47" s="311"/>
      <c r="P47" s="200"/>
      <c r="Q47" s="313">
        <f t="shared" si="5"/>
        <v>0</v>
      </c>
      <c r="R47" s="304"/>
      <c r="S47" s="315"/>
      <c r="T47" s="315"/>
      <c r="U47" s="315"/>
      <c r="V47" s="315"/>
      <c r="W47" s="316"/>
      <c r="X47" s="257">
        <f t="shared" si="1"/>
        <v>750750</v>
      </c>
    </row>
    <row r="48" spans="1:27" s="196" customFormat="1" ht="18.75" customHeight="1" x14ac:dyDescent="0.2">
      <c r="A48" s="1131">
        <v>7</v>
      </c>
      <c r="B48" s="1222" t="s">
        <v>84</v>
      </c>
      <c r="C48" s="1222" t="s">
        <v>6</v>
      </c>
      <c r="D48" s="197" t="s">
        <v>83</v>
      </c>
      <c r="E48" s="198"/>
      <c r="F48" s="198"/>
      <c r="G48" s="185"/>
      <c r="H48" s="311"/>
      <c r="I48" s="185"/>
      <c r="J48" s="186">
        <f t="shared" si="3"/>
        <v>0</v>
      </c>
      <c r="K48" s="303">
        <v>465</v>
      </c>
      <c r="L48" s="311">
        <v>1</v>
      </c>
      <c r="M48" s="200">
        <v>70000</v>
      </c>
      <c r="N48" s="311">
        <v>1.05</v>
      </c>
      <c r="O48" s="311">
        <v>1</v>
      </c>
      <c r="P48" s="200">
        <f t="shared" si="4"/>
        <v>73500</v>
      </c>
      <c r="Q48" s="313">
        <f t="shared" si="5"/>
        <v>808500</v>
      </c>
      <c r="R48" s="304"/>
      <c r="S48" s="315"/>
      <c r="T48" s="315"/>
      <c r="U48" s="315"/>
      <c r="V48" s="315"/>
      <c r="W48" s="316"/>
      <c r="X48" s="257">
        <f t="shared" si="1"/>
        <v>808500</v>
      </c>
    </row>
    <row r="49" spans="1:24" s="196" customFormat="1" ht="18.75" customHeight="1" x14ac:dyDescent="0.2">
      <c r="A49" s="1132"/>
      <c r="B49" s="1230"/>
      <c r="C49" s="1230"/>
      <c r="D49" s="197" t="s">
        <v>82</v>
      </c>
      <c r="E49" s="198"/>
      <c r="F49" s="198"/>
      <c r="G49" s="185"/>
      <c r="H49" s="311"/>
      <c r="I49" s="185"/>
      <c r="J49" s="186">
        <f t="shared" si="3"/>
        <v>0</v>
      </c>
      <c r="K49" s="303">
        <v>527</v>
      </c>
      <c r="L49" s="311">
        <v>1</v>
      </c>
      <c r="M49" s="200">
        <v>75000</v>
      </c>
      <c r="N49" s="311">
        <v>1.05</v>
      </c>
      <c r="O49" s="311">
        <v>1.1000000000000001</v>
      </c>
      <c r="P49" s="200">
        <f t="shared" si="4"/>
        <v>86625</v>
      </c>
      <c r="Q49" s="313">
        <f t="shared" si="5"/>
        <v>952875</v>
      </c>
      <c r="R49" s="304"/>
      <c r="S49" s="315"/>
      <c r="T49" s="315"/>
      <c r="U49" s="315"/>
      <c r="V49" s="315"/>
      <c r="W49" s="316"/>
      <c r="X49" s="257">
        <f t="shared" si="1"/>
        <v>952875</v>
      </c>
    </row>
    <row r="50" spans="1:24" s="196" customFormat="1" ht="18.75" customHeight="1" x14ac:dyDescent="0.2">
      <c r="A50" s="1133"/>
      <c r="B50" s="1223"/>
      <c r="C50" s="1223"/>
      <c r="D50" s="197" t="s">
        <v>81</v>
      </c>
      <c r="E50" s="198"/>
      <c r="F50" s="198"/>
      <c r="G50" s="185"/>
      <c r="H50" s="311"/>
      <c r="I50" s="185"/>
      <c r="J50" s="186">
        <f t="shared" si="3"/>
        <v>0</v>
      </c>
      <c r="K50" s="303">
        <v>235</v>
      </c>
      <c r="L50" s="311">
        <v>1</v>
      </c>
      <c r="M50" s="200">
        <v>60000</v>
      </c>
      <c r="N50" s="311">
        <v>1.05</v>
      </c>
      <c r="O50" s="311">
        <v>1.1000000000000001</v>
      </c>
      <c r="P50" s="200">
        <f>M50*N50*O50*L50</f>
        <v>69300</v>
      </c>
      <c r="Q50" s="313">
        <f t="shared" si="5"/>
        <v>762300</v>
      </c>
      <c r="R50" s="304"/>
      <c r="S50" s="315"/>
      <c r="T50" s="315"/>
      <c r="U50" s="315"/>
      <c r="V50" s="315"/>
      <c r="W50" s="316"/>
      <c r="X50" s="257">
        <f t="shared" si="1"/>
        <v>762300</v>
      </c>
    </row>
    <row r="51" spans="1:24" s="196" customFormat="1" ht="18.75" customHeight="1" x14ac:dyDescent="0.2">
      <c r="A51" s="1131">
        <v>8</v>
      </c>
      <c r="B51" s="1222" t="s">
        <v>80</v>
      </c>
      <c r="C51" s="1222" t="s">
        <v>6</v>
      </c>
      <c r="D51" s="197" t="s">
        <v>79</v>
      </c>
      <c r="E51" s="198"/>
      <c r="F51" s="198"/>
      <c r="G51" s="185"/>
      <c r="H51" s="311"/>
      <c r="I51" s="185"/>
      <c r="J51" s="186">
        <f t="shared" si="3"/>
        <v>0</v>
      </c>
      <c r="K51" s="303">
        <v>1141</v>
      </c>
      <c r="L51" s="311">
        <v>1</v>
      </c>
      <c r="M51" s="200">
        <v>85000</v>
      </c>
      <c r="N51" s="311">
        <v>1.05</v>
      </c>
      <c r="O51" s="311">
        <v>1</v>
      </c>
      <c r="P51" s="200">
        <f t="shared" si="4"/>
        <v>89250</v>
      </c>
      <c r="Q51" s="313">
        <f t="shared" si="5"/>
        <v>981750</v>
      </c>
      <c r="R51" s="304"/>
      <c r="S51" s="315"/>
      <c r="T51" s="315"/>
      <c r="U51" s="315"/>
      <c r="V51" s="315"/>
      <c r="W51" s="316"/>
      <c r="X51" s="257">
        <f t="shared" si="1"/>
        <v>981750</v>
      </c>
    </row>
    <row r="52" spans="1:24" s="196" customFormat="1" ht="18.75" customHeight="1" x14ac:dyDescent="0.2">
      <c r="A52" s="1133"/>
      <c r="B52" s="1223"/>
      <c r="C52" s="1223"/>
      <c r="D52" s="197" t="s">
        <v>78</v>
      </c>
      <c r="E52" s="198" t="s">
        <v>185</v>
      </c>
      <c r="F52" s="198">
        <v>1</v>
      </c>
      <c r="G52" s="185">
        <v>65000</v>
      </c>
      <c r="H52" s="311">
        <v>1.05</v>
      </c>
      <c r="I52" s="185">
        <f>G52*H52*F52</f>
        <v>68250</v>
      </c>
      <c r="J52" s="186">
        <f t="shared" si="3"/>
        <v>750750</v>
      </c>
      <c r="K52" s="303"/>
      <c r="L52" s="311"/>
      <c r="M52" s="200"/>
      <c r="N52" s="311"/>
      <c r="O52" s="311"/>
      <c r="P52" s="200"/>
      <c r="Q52" s="313">
        <f t="shared" si="5"/>
        <v>0</v>
      </c>
      <c r="R52" s="304"/>
      <c r="S52" s="315"/>
      <c r="T52" s="315"/>
      <c r="U52" s="315"/>
      <c r="V52" s="315"/>
      <c r="W52" s="316"/>
      <c r="X52" s="257">
        <f t="shared" si="1"/>
        <v>750750</v>
      </c>
    </row>
    <row r="53" spans="1:24" s="196" customFormat="1" ht="18.75" customHeight="1" x14ac:dyDescent="0.2">
      <c r="A53" s="182">
        <v>9</v>
      </c>
      <c r="B53" s="208" t="s">
        <v>77</v>
      </c>
      <c r="C53" s="179" t="s">
        <v>6</v>
      </c>
      <c r="D53" s="197" t="s">
        <v>174</v>
      </c>
      <c r="E53" s="198"/>
      <c r="F53" s="198"/>
      <c r="G53" s="185"/>
      <c r="H53" s="311"/>
      <c r="I53" s="185"/>
      <c r="J53" s="186">
        <f t="shared" si="3"/>
        <v>0</v>
      </c>
      <c r="K53" s="303">
        <v>1265</v>
      </c>
      <c r="L53" s="311">
        <v>1</v>
      </c>
      <c r="M53" s="200">
        <v>85000</v>
      </c>
      <c r="N53" s="311">
        <v>1.05</v>
      </c>
      <c r="O53" s="311">
        <v>1</v>
      </c>
      <c r="P53" s="200">
        <f t="shared" si="4"/>
        <v>89250</v>
      </c>
      <c r="Q53" s="313">
        <f t="shared" si="5"/>
        <v>981750</v>
      </c>
      <c r="R53" s="304"/>
      <c r="S53" s="315"/>
      <c r="T53" s="315"/>
      <c r="U53" s="315"/>
      <c r="V53" s="315"/>
      <c r="W53" s="316"/>
      <c r="X53" s="257">
        <f t="shared" si="1"/>
        <v>981750</v>
      </c>
    </row>
    <row r="54" spans="1:24" s="196" customFormat="1" ht="18.75" customHeight="1" x14ac:dyDescent="0.2">
      <c r="A54" s="182">
        <v>10</v>
      </c>
      <c r="B54" s="208" t="s">
        <v>76</v>
      </c>
      <c r="C54" s="179" t="s">
        <v>6</v>
      </c>
      <c r="D54" s="197" t="s">
        <v>175</v>
      </c>
      <c r="E54" s="198"/>
      <c r="F54" s="198"/>
      <c r="G54" s="185"/>
      <c r="H54" s="311"/>
      <c r="I54" s="185"/>
      <c r="J54" s="186">
        <f t="shared" si="3"/>
        <v>0</v>
      </c>
      <c r="K54" s="303">
        <v>751</v>
      </c>
      <c r="L54" s="311">
        <v>1</v>
      </c>
      <c r="M54" s="200">
        <v>80000</v>
      </c>
      <c r="N54" s="311">
        <v>1.05</v>
      </c>
      <c r="O54" s="311">
        <v>1</v>
      </c>
      <c r="P54" s="200">
        <f t="shared" si="4"/>
        <v>84000</v>
      </c>
      <c r="Q54" s="313">
        <f t="shared" si="5"/>
        <v>924000</v>
      </c>
      <c r="R54" s="304"/>
      <c r="S54" s="315"/>
      <c r="T54" s="315"/>
      <c r="U54" s="315"/>
      <c r="V54" s="315"/>
      <c r="W54" s="316"/>
      <c r="X54" s="257">
        <f t="shared" si="1"/>
        <v>924000</v>
      </c>
    </row>
    <row r="55" spans="1:24" s="196" customFormat="1" ht="18.75" customHeight="1" x14ac:dyDescent="0.2">
      <c r="A55" s="1122">
        <v>11</v>
      </c>
      <c r="B55" s="1071" t="s">
        <v>75</v>
      </c>
      <c r="C55" s="1071" t="s">
        <v>6</v>
      </c>
      <c r="D55" s="197" t="s">
        <v>74</v>
      </c>
      <c r="E55" s="198"/>
      <c r="F55" s="198"/>
      <c r="G55" s="185"/>
      <c r="H55" s="311"/>
      <c r="I55" s="185"/>
      <c r="J55" s="186">
        <f t="shared" si="3"/>
        <v>0</v>
      </c>
      <c r="K55" s="303">
        <v>488</v>
      </c>
      <c r="L55" s="311">
        <v>1</v>
      </c>
      <c r="M55" s="200">
        <v>70000</v>
      </c>
      <c r="N55" s="311">
        <v>1.05</v>
      </c>
      <c r="O55" s="311">
        <v>1.1000000000000001</v>
      </c>
      <c r="P55" s="200">
        <f t="shared" si="4"/>
        <v>80850</v>
      </c>
      <c r="Q55" s="313">
        <f t="shared" si="5"/>
        <v>889350</v>
      </c>
      <c r="R55" s="304"/>
      <c r="S55" s="315"/>
      <c r="T55" s="315"/>
      <c r="U55" s="315"/>
      <c r="V55" s="315"/>
      <c r="W55" s="316"/>
      <c r="X55" s="257">
        <f t="shared" si="1"/>
        <v>889350</v>
      </c>
    </row>
    <row r="56" spans="1:24" s="196" customFormat="1" ht="18.75" customHeight="1" x14ac:dyDescent="0.2">
      <c r="A56" s="1122"/>
      <c r="B56" s="1071"/>
      <c r="C56" s="1071"/>
      <c r="D56" s="197" t="s">
        <v>73</v>
      </c>
      <c r="E56" s="198" t="s">
        <v>185</v>
      </c>
      <c r="F56" s="198">
        <v>1</v>
      </c>
      <c r="G56" s="185">
        <v>65000</v>
      </c>
      <c r="H56" s="311">
        <v>1.05</v>
      </c>
      <c r="I56" s="185">
        <f>G56*H56*F56</f>
        <v>68250</v>
      </c>
      <c r="J56" s="186">
        <f t="shared" si="3"/>
        <v>750750</v>
      </c>
      <c r="K56" s="303"/>
      <c r="L56" s="311"/>
      <c r="M56" s="200"/>
      <c r="N56" s="311"/>
      <c r="O56" s="311"/>
      <c r="P56" s="200"/>
      <c r="Q56" s="313">
        <f t="shared" si="5"/>
        <v>0</v>
      </c>
      <c r="R56" s="304"/>
      <c r="S56" s="315"/>
      <c r="T56" s="315"/>
      <c r="U56" s="315"/>
      <c r="V56" s="315"/>
      <c r="W56" s="316"/>
      <c r="X56" s="257">
        <f t="shared" si="1"/>
        <v>750750</v>
      </c>
    </row>
    <row r="57" spans="1:24" s="196" customFormat="1" ht="18.75" customHeight="1" x14ac:dyDescent="0.2">
      <c r="A57" s="1122">
        <v>12</v>
      </c>
      <c r="B57" s="1071" t="s">
        <v>72</v>
      </c>
      <c r="C57" s="1071" t="s">
        <v>6</v>
      </c>
      <c r="D57" s="197" t="s">
        <v>71</v>
      </c>
      <c r="E57" s="198"/>
      <c r="F57" s="198"/>
      <c r="G57" s="185"/>
      <c r="H57" s="311"/>
      <c r="I57" s="185"/>
      <c r="J57" s="186">
        <f t="shared" si="3"/>
        <v>0</v>
      </c>
      <c r="K57" s="303">
        <v>594</v>
      </c>
      <c r="L57" s="311">
        <v>1</v>
      </c>
      <c r="M57" s="200">
        <v>75000</v>
      </c>
      <c r="N57" s="311">
        <v>1.05</v>
      </c>
      <c r="O57" s="311">
        <v>1.1000000000000001</v>
      </c>
      <c r="P57" s="200">
        <f t="shared" si="4"/>
        <v>86625</v>
      </c>
      <c r="Q57" s="313">
        <f t="shared" si="5"/>
        <v>952875</v>
      </c>
      <c r="R57" s="304"/>
      <c r="S57" s="315"/>
      <c r="T57" s="315"/>
      <c r="U57" s="315"/>
      <c r="V57" s="315"/>
      <c r="W57" s="316"/>
      <c r="X57" s="257">
        <f t="shared" si="1"/>
        <v>952875</v>
      </c>
    </row>
    <row r="58" spans="1:24" s="196" customFormat="1" ht="18.75" customHeight="1" x14ac:dyDescent="0.2">
      <c r="A58" s="1122"/>
      <c r="B58" s="1071"/>
      <c r="C58" s="1071"/>
      <c r="D58" s="197" t="s">
        <v>182</v>
      </c>
      <c r="E58" s="198"/>
      <c r="F58" s="198"/>
      <c r="G58" s="185"/>
      <c r="H58" s="311"/>
      <c r="I58" s="185"/>
      <c r="J58" s="186">
        <f t="shared" si="3"/>
        <v>0</v>
      </c>
      <c r="K58" s="303">
        <v>496</v>
      </c>
      <c r="L58" s="311">
        <v>1</v>
      </c>
      <c r="M58" s="200">
        <v>70000</v>
      </c>
      <c r="N58" s="311">
        <v>1.05</v>
      </c>
      <c r="O58" s="311">
        <v>1</v>
      </c>
      <c r="P58" s="200">
        <f t="shared" si="4"/>
        <v>73500</v>
      </c>
      <c r="Q58" s="313">
        <f t="shared" si="5"/>
        <v>808500</v>
      </c>
      <c r="R58" s="304"/>
      <c r="S58" s="315"/>
      <c r="T58" s="315"/>
      <c r="U58" s="315"/>
      <c r="V58" s="315"/>
      <c r="W58" s="316"/>
      <c r="X58" s="257">
        <f t="shared" si="1"/>
        <v>808500</v>
      </c>
    </row>
    <row r="59" spans="1:24" s="196" customFormat="1" ht="18.75" customHeight="1" x14ac:dyDescent="0.2">
      <c r="A59" s="1122">
        <v>13</v>
      </c>
      <c r="B59" s="1071" t="s">
        <v>69</v>
      </c>
      <c r="C59" s="1071" t="s">
        <v>6</v>
      </c>
      <c r="D59" s="179" t="s">
        <v>68</v>
      </c>
      <c r="E59" s="199"/>
      <c r="F59" s="199"/>
      <c r="G59" s="200"/>
      <c r="H59" s="311"/>
      <c r="I59" s="185"/>
      <c r="J59" s="186">
        <f t="shared" si="3"/>
        <v>0</v>
      </c>
      <c r="K59" s="303">
        <v>397</v>
      </c>
      <c r="L59" s="311">
        <v>1</v>
      </c>
      <c r="M59" s="200">
        <v>60000</v>
      </c>
      <c r="N59" s="311">
        <v>1.05</v>
      </c>
      <c r="O59" s="311">
        <v>1</v>
      </c>
      <c r="P59" s="200">
        <f t="shared" si="4"/>
        <v>63000</v>
      </c>
      <c r="Q59" s="313">
        <f t="shared" si="5"/>
        <v>693000</v>
      </c>
      <c r="R59" s="304"/>
      <c r="S59" s="315"/>
      <c r="T59" s="315"/>
      <c r="U59" s="315"/>
      <c r="V59" s="315"/>
      <c r="W59" s="316"/>
      <c r="X59" s="257">
        <f t="shared" si="1"/>
        <v>693000</v>
      </c>
    </row>
    <row r="60" spans="1:24" s="196" customFormat="1" ht="18.75" customHeight="1" x14ac:dyDescent="0.2">
      <c r="A60" s="1122"/>
      <c r="B60" s="1071"/>
      <c r="C60" s="1071"/>
      <c r="D60" s="179" t="s">
        <v>67</v>
      </c>
      <c r="E60" s="199"/>
      <c r="F60" s="199"/>
      <c r="G60" s="200"/>
      <c r="H60" s="311"/>
      <c r="I60" s="185"/>
      <c r="J60" s="186">
        <f t="shared" si="3"/>
        <v>0</v>
      </c>
      <c r="K60" s="303">
        <v>536</v>
      </c>
      <c r="L60" s="311">
        <v>1</v>
      </c>
      <c r="M60" s="200">
        <v>75000</v>
      </c>
      <c r="N60" s="311">
        <v>1.05</v>
      </c>
      <c r="O60" s="311">
        <v>1</v>
      </c>
      <c r="P60" s="200">
        <f t="shared" si="4"/>
        <v>78750</v>
      </c>
      <c r="Q60" s="313">
        <f t="shared" si="5"/>
        <v>866250</v>
      </c>
      <c r="R60" s="304"/>
      <c r="S60" s="315"/>
      <c r="T60" s="315"/>
      <c r="U60" s="315"/>
      <c r="V60" s="315"/>
      <c r="W60" s="316"/>
      <c r="X60" s="257">
        <f t="shared" si="1"/>
        <v>866250</v>
      </c>
    </row>
    <row r="61" spans="1:24" s="196" customFormat="1" ht="18.75" customHeight="1" x14ac:dyDescent="0.2">
      <c r="A61" s="1131">
        <v>14</v>
      </c>
      <c r="B61" s="1222" t="s">
        <v>66</v>
      </c>
      <c r="C61" s="1222" t="s">
        <v>6</v>
      </c>
      <c r="D61" s="179" t="s">
        <v>65</v>
      </c>
      <c r="E61" s="199"/>
      <c r="F61" s="199"/>
      <c r="G61" s="200"/>
      <c r="H61" s="311"/>
      <c r="I61" s="185"/>
      <c r="J61" s="186">
        <f t="shared" si="3"/>
        <v>0</v>
      </c>
      <c r="K61" s="303">
        <v>362</v>
      </c>
      <c r="L61" s="311">
        <v>1</v>
      </c>
      <c r="M61" s="200">
        <v>60000</v>
      </c>
      <c r="N61" s="311">
        <v>1.05</v>
      </c>
      <c r="O61" s="311">
        <v>1.1000000000000001</v>
      </c>
      <c r="P61" s="200">
        <f t="shared" si="4"/>
        <v>69300</v>
      </c>
      <c r="Q61" s="313">
        <f t="shared" si="5"/>
        <v>762300</v>
      </c>
      <c r="R61" s="304"/>
      <c r="S61" s="315"/>
      <c r="T61" s="315"/>
      <c r="U61" s="315"/>
      <c r="V61" s="315"/>
      <c r="W61" s="316"/>
      <c r="X61" s="257">
        <f t="shared" si="1"/>
        <v>762300</v>
      </c>
    </row>
    <row r="62" spans="1:24" s="196" customFormat="1" ht="18.75" customHeight="1" x14ac:dyDescent="0.2">
      <c r="A62" s="1132"/>
      <c r="B62" s="1230"/>
      <c r="C62" s="1230"/>
      <c r="D62" s="179" t="s">
        <v>64</v>
      </c>
      <c r="E62" s="199"/>
      <c r="F62" s="199"/>
      <c r="G62" s="200"/>
      <c r="H62" s="311"/>
      <c r="I62" s="185"/>
      <c r="J62" s="186">
        <f t="shared" si="3"/>
        <v>0</v>
      </c>
      <c r="K62" s="303">
        <v>73</v>
      </c>
      <c r="L62" s="311">
        <v>1</v>
      </c>
      <c r="M62" s="200">
        <v>60000</v>
      </c>
      <c r="N62" s="311">
        <v>1.05</v>
      </c>
      <c r="O62" s="311">
        <v>1</v>
      </c>
      <c r="P62" s="200">
        <f t="shared" si="4"/>
        <v>63000</v>
      </c>
      <c r="Q62" s="313">
        <f t="shared" si="5"/>
        <v>693000</v>
      </c>
      <c r="R62" s="304"/>
      <c r="S62" s="315"/>
      <c r="T62" s="315"/>
      <c r="U62" s="315"/>
      <c r="V62" s="315"/>
      <c r="W62" s="316"/>
      <c r="X62" s="257">
        <f t="shared" si="1"/>
        <v>693000</v>
      </c>
    </row>
    <row r="63" spans="1:24" s="196" customFormat="1" ht="18.75" customHeight="1" x14ac:dyDescent="0.2">
      <c r="A63" s="1132"/>
      <c r="B63" s="1230"/>
      <c r="C63" s="1230"/>
      <c r="D63" s="179" t="s">
        <v>63</v>
      </c>
      <c r="E63" s="199" t="s">
        <v>186</v>
      </c>
      <c r="F63" s="199">
        <v>1</v>
      </c>
      <c r="G63" s="200">
        <v>60000</v>
      </c>
      <c r="H63" s="311">
        <v>1.05</v>
      </c>
      <c r="I63" s="185">
        <f>G63*H63*F63</f>
        <v>63000</v>
      </c>
      <c r="J63" s="186">
        <f t="shared" si="3"/>
        <v>693000</v>
      </c>
      <c r="K63" s="303"/>
      <c r="L63" s="311"/>
      <c r="M63" s="200"/>
      <c r="N63" s="311"/>
      <c r="O63" s="311"/>
      <c r="P63" s="200"/>
      <c r="Q63" s="313">
        <f t="shared" si="5"/>
        <v>0</v>
      </c>
      <c r="R63" s="304"/>
      <c r="S63" s="315"/>
      <c r="T63" s="315"/>
      <c r="U63" s="315"/>
      <c r="V63" s="315"/>
      <c r="W63" s="316"/>
      <c r="X63" s="257">
        <f t="shared" si="1"/>
        <v>693000</v>
      </c>
    </row>
    <row r="64" spans="1:24" s="196" customFormat="1" ht="18.75" customHeight="1" x14ac:dyDescent="0.2">
      <c r="A64" s="1132"/>
      <c r="B64" s="1230"/>
      <c r="C64" s="1230"/>
      <c r="D64" s="179" t="s">
        <v>62</v>
      </c>
      <c r="E64" s="199" t="s">
        <v>186</v>
      </c>
      <c r="F64" s="199">
        <v>1</v>
      </c>
      <c r="G64" s="200">
        <v>60000</v>
      </c>
      <c r="H64" s="311">
        <v>1.05</v>
      </c>
      <c r="I64" s="185">
        <f>G64*H64*F64</f>
        <v>63000</v>
      </c>
      <c r="J64" s="186">
        <f t="shared" si="3"/>
        <v>693000</v>
      </c>
      <c r="K64" s="303"/>
      <c r="L64" s="311"/>
      <c r="M64" s="200"/>
      <c r="N64" s="311"/>
      <c r="O64" s="311"/>
      <c r="P64" s="200"/>
      <c r="Q64" s="313">
        <f t="shared" si="5"/>
        <v>0</v>
      </c>
      <c r="R64" s="304"/>
      <c r="S64" s="315"/>
      <c r="T64" s="315"/>
      <c r="U64" s="315"/>
      <c r="V64" s="315"/>
      <c r="W64" s="316"/>
      <c r="X64" s="257">
        <f t="shared" si="1"/>
        <v>693000</v>
      </c>
    </row>
    <row r="65" spans="1:24" s="196" customFormat="1" ht="18.75" customHeight="1" x14ac:dyDescent="0.2">
      <c r="A65" s="1133"/>
      <c r="B65" s="1223"/>
      <c r="C65" s="1223"/>
      <c r="D65" s="179" t="s">
        <v>61</v>
      </c>
      <c r="E65" s="199" t="s">
        <v>186</v>
      </c>
      <c r="F65" s="199">
        <v>1</v>
      </c>
      <c r="G65" s="200">
        <v>60000</v>
      </c>
      <c r="H65" s="311">
        <v>1.05</v>
      </c>
      <c r="I65" s="185">
        <f>G65*H65*F65</f>
        <v>63000</v>
      </c>
      <c r="J65" s="186">
        <f t="shared" si="3"/>
        <v>693000</v>
      </c>
      <c r="K65" s="303"/>
      <c r="L65" s="311"/>
      <c r="M65" s="200"/>
      <c r="N65" s="311"/>
      <c r="O65" s="311"/>
      <c r="P65" s="200"/>
      <c r="Q65" s="313">
        <f t="shared" si="5"/>
        <v>0</v>
      </c>
      <c r="R65" s="304"/>
      <c r="S65" s="315"/>
      <c r="T65" s="315"/>
      <c r="U65" s="315"/>
      <c r="V65" s="315"/>
      <c r="W65" s="316"/>
      <c r="X65" s="257">
        <f t="shared" si="1"/>
        <v>693000</v>
      </c>
    </row>
    <row r="66" spans="1:24" s="196" customFormat="1" ht="18.75" customHeight="1" x14ac:dyDescent="0.2">
      <c r="A66" s="1131">
        <v>15</v>
      </c>
      <c r="B66" s="1222" t="s">
        <v>60</v>
      </c>
      <c r="C66" s="1222" t="s">
        <v>6</v>
      </c>
      <c r="D66" s="179" t="s">
        <v>59</v>
      </c>
      <c r="E66" s="199"/>
      <c r="F66" s="199"/>
      <c r="G66" s="200"/>
      <c r="H66" s="311"/>
      <c r="I66" s="185"/>
      <c r="J66" s="186">
        <f t="shared" si="3"/>
        <v>0</v>
      </c>
      <c r="K66" s="303">
        <v>679</v>
      </c>
      <c r="L66" s="311">
        <v>1</v>
      </c>
      <c r="M66" s="200">
        <v>80000</v>
      </c>
      <c r="N66" s="311">
        <v>1.05</v>
      </c>
      <c r="O66" s="311">
        <v>1.1000000000000001</v>
      </c>
      <c r="P66" s="200">
        <f t="shared" si="4"/>
        <v>92400.000000000015</v>
      </c>
      <c r="Q66" s="313">
        <f t="shared" si="5"/>
        <v>1016400.0000000001</v>
      </c>
      <c r="R66" s="304"/>
      <c r="S66" s="315"/>
      <c r="T66" s="315"/>
      <c r="U66" s="315"/>
      <c r="V66" s="315"/>
      <c r="W66" s="316"/>
      <c r="X66" s="257">
        <f t="shared" si="1"/>
        <v>1016400.0000000001</v>
      </c>
    </row>
    <row r="67" spans="1:24" s="196" customFormat="1" ht="18.75" customHeight="1" x14ac:dyDescent="0.2">
      <c r="A67" s="1132"/>
      <c r="B67" s="1230"/>
      <c r="C67" s="1230"/>
      <c r="D67" s="179" t="s">
        <v>58</v>
      </c>
      <c r="E67" s="199"/>
      <c r="F67" s="199"/>
      <c r="G67" s="200"/>
      <c r="H67" s="311"/>
      <c r="I67" s="185"/>
      <c r="J67" s="186">
        <f t="shared" si="3"/>
        <v>0</v>
      </c>
      <c r="K67" s="303">
        <v>39</v>
      </c>
      <c r="L67" s="311">
        <v>1</v>
      </c>
      <c r="M67" s="200">
        <v>60000</v>
      </c>
      <c r="N67" s="311">
        <v>1.05</v>
      </c>
      <c r="O67" s="311">
        <v>1</v>
      </c>
      <c r="P67" s="200">
        <f t="shared" si="4"/>
        <v>63000</v>
      </c>
      <c r="Q67" s="313">
        <f t="shared" si="5"/>
        <v>693000</v>
      </c>
      <c r="R67" s="304"/>
      <c r="S67" s="315"/>
      <c r="T67" s="315"/>
      <c r="U67" s="315"/>
      <c r="V67" s="315"/>
      <c r="W67" s="316"/>
      <c r="X67" s="257">
        <f t="shared" si="1"/>
        <v>693000</v>
      </c>
    </row>
    <row r="68" spans="1:24" s="196" customFormat="1" ht="18.75" customHeight="1" x14ac:dyDescent="0.2">
      <c r="A68" s="1132"/>
      <c r="B68" s="1230"/>
      <c r="C68" s="1230"/>
      <c r="D68" s="179" t="s">
        <v>57</v>
      </c>
      <c r="E68" s="199" t="s">
        <v>185</v>
      </c>
      <c r="F68" s="199">
        <v>1</v>
      </c>
      <c r="G68" s="200">
        <v>65000</v>
      </c>
      <c r="H68" s="311">
        <v>1.05</v>
      </c>
      <c r="I68" s="185">
        <f>G68*H68*F68</f>
        <v>68250</v>
      </c>
      <c r="J68" s="186">
        <f t="shared" si="3"/>
        <v>750750</v>
      </c>
      <c r="K68" s="303"/>
      <c r="L68" s="311"/>
      <c r="M68" s="200"/>
      <c r="N68" s="311"/>
      <c r="O68" s="311"/>
      <c r="P68" s="200"/>
      <c r="Q68" s="313">
        <f t="shared" si="5"/>
        <v>0</v>
      </c>
      <c r="R68" s="304"/>
      <c r="S68" s="315"/>
      <c r="T68" s="315"/>
      <c r="U68" s="315"/>
      <c r="V68" s="315"/>
      <c r="W68" s="316"/>
      <c r="X68" s="257">
        <f t="shared" si="1"/>
        <v>750750</v>
      </c>
    </row>
    <row r="69" spans="1:24" s="196" customFormat="1" ht="18.75" customHeight="1" x14ac:dyDescent="0.2">
      <c r="A69" s="1133"/>
      <c r="B69" s="1223"/>
      <c r="C69" s="1223"/>
      <c r="D69" s="179" t="s">
        <v>56</v>
      </c>
      <c r="E69" s="199" t="s">
        <v>185</v>
      </c>
      <c r="F69" s="199">
        <v>1</v>
      </c>
      <c r="G69" s="200">
        <v>65000</v>
      </c>
      <c r="H69" s="311">
        <v>1.05</v>
      </c>
      <c r="I69" s="185">
        <f>G69*H69*F69</f>
        <v>68250</v>
      </c>
      <c r="J69" s="186">
        <f t="shared" si="3"/>
        <v>750750</v>
      </c>
      <c r="K69" s="303"/>
      <c r="L69" s="311"/>
      <c r="M69" s="200"/>
      <c r="N69" s="311"/>
      <c r="O69" s="311"/>
      <c r="P69" s="200"/>
      <c r="Q69" s="313">
        <f t="shared" si="5"/>
        <v>0</v>
      </c>
      <c r="R69" s="304"/>
      <c r="S69" s="315"/>
      <c r="T69" s="315"/>
      <c r="U69" s="315"/>
      <c r="V69" s="315"/>
      <c r="W69" s="316"/>
      <c r="X69" s="257">
        <f t="shared" si="1"/>
        <v>750750</v>
      </c>
    </row>
    <row r="70" spans="1:24" s="196" customFormat="1" ht="18.75" customHeight="1" x14ac:dyDescent="0.2">
      <c r="A70" s="1131">
        <v>16</v>
      </c>
      <c r="B70" s="1222" t="s">
        <v>55</v>
      </c>
      <c r="C70" s="1222" t="s">
        <v>6</v>
      </c>
      <c r="D70" s="179" t="s">
        <v>54</v>
      </c>
      <c r="E70" s="199"/>
      <c r="F70" s="199"/>
      <c r="G70" s="200"/>
      <c r="H70" s="311"/>
      <c r="I70" s="185"/>
      <c r="J70" s="186">
        <f t="shared" si="3"/>
        <v>0</v>
      </c>
      <c r="K70" s="303">
        <v>516</v>
      </c>
      <c r="L70" s="311">
        <v>1</v>
      </c>
      <c r="M70" s="200">
        <v>75000</v>
      </c>
      <c r="N70" s="311">
        <v>1.05</v>
      </c>
      <c r="O70" s="311">
        <v>1</v>
      </c>
      <c r="P70" s="200">
        <f t="shared" si="4"/>
        <v>78750</v>
      </c>
      <c r="Q70" s="313">
        <f t="shared" si="5"/>
        <v>866250</v>
      </c>
      <c r="R70" s="304"/>
      <c r="S70" s="315"/>
      <c r="T70" s="315"/>
      <c r="U70" s="315"/>
      <c r="V70" s="315"/>
      <c r="W70" s="316"/>
      <c r="X70" s="257">
        <f t="shared" si="1"/>
        <v>866250</v>
      </c>
    </row>
    <row r="71" spans="1:24" s="196" customFormat="1" ht="18.75" customHeight="1" x14ac:dyDescent="0.2">
      <c r="A71" s="1132"/>
      <c r="B71" s="1230"/>
      <c r="C71" s="1230"/>
      <c r="D71" s="179" t="s">
        <v>53</v>
      </c>
      <c r="E71" s="199" t="s">
        <v>185</v>
      </c>
      <c r="F71" s="199">
        <v>1</v>
      </c>
      <c r="G71" s="200">
        <v>65000</v>
      </c>
      <c r="H71" s="311">
        <v>1.05</v>
      </c>
      <c r="I71" s="185">
        <f>G71*H71*F71</f>
        <v>68250</v>
      </c>
      <c r="J71" s="186">
        <f t="shared" si="3"/>
        <v>750750</v>
      </c>
      <c r="K71" s="303"/>
      <c r="L71" s="311"/>
      <c r="M71" s="200"/>
      <c r="N71" s="311"/>
      <c r="O71" s="311"/>
      <c r="P71" s="200"/>
      <c r="Q71" s="313">
        <f t="shared" si="5"/>
        <v>0</v>
      </c>
      <c r="R71" s="304"/>
      <c r="S71" s="315"/>
      <c r="T71" s="315"/>
      <c r="U71" s="315"/>
      <c r="V71" s="315"/>
      <c r="W71" s="316"/>
      <c r="X71" s="257">
        <f t="shared" ref="X71:X116" si="6">J71+Q71+W71</f>
        <v>750750</v>
      </c>
    </row>
    <row r="72" spans="1:24" s="196" customFormat="1" ht="18.75" customHeight="1" x14ac:dyDescent="0.2">
      <c r="A72" s="1132"/>
      <c r="B72" s="1230"/>
      <c r="C72" s="1230"/>
      <c r="D72" s="179" t="s">
        <v>52</v>
      </c>
      <c r="E72" s="199" t="s">
        <v>186</v>
      </c>
      <c r="F72" s="199">
        <v>1</v>
      </c>
      <c r="G72" s="200">
        <v>60000</v>
      </c>
      <c r="H72" s="311">
        <v>1.05</v>
      </c>
      <c r="I72" s="185">
        <f>G72*H72*F72</f>
        <v>63000</v>
      </c>
      <c r="J72" s="186">
        <f t="shared" si="3"/>
        <v>693000</v>
      </c>
      <c r="K72" s="303"/>
      <c r="L72" s="311"/>
      <c r="M72" s="200"/>
      <c r="N72" s="311"/>
      <c r="O72" s="311"/>
      <c r="P72" s="200"/>
      <c r="Q72" s="313">
        <f t="shared" si="5"/>
        <v>0</v>
      </c>
      <c r="R72" s="304"/>
      <c r="S72" s="315"/>
      <c r="T72" s="315"/>
      <c r="U72" s="315"/>
      <c r="V72" s="315"/>
      <c r="W72" s="316"/>
      <c r="X72" s="257">
        <f t="shared" si="6"/>
        <v>693000</v>
      </c>
    </row>
    <row r="73" spans="1:24" s="196" customFormat="1" ht="18.75" customHeight="1" x14ac:dyDescent="0.2">
      <c r="A73" s="1131">
        <v>17</v>
      </c>
      <c r="B73" s="1222" t="s">
        <v>51</v>
      </c>
      <c r="C73" s="1065" t="s">
        <v>6</v>
      </c>
      <c r="D73" s="179" t="s">
        <v>181</v>
      </c>
      <c r="E73" s="199"/>
      <c r="F73" s="199"/>
      <c r="G73" s="200"/>
      <c r="H73" s="311"/>
      <c r="I73" s="185"/>
      <c r="J73" s="186">
        <f t="shared" si="3"/>
        <v>0</v>
      </c>
      <c r="K73" s="303">
        <v>934</v>
      </c>
      <c r="L73" s="311">
        <v>1</v>
      </c>
      <c r="M73" s="200">
        <v>80000</v>
      </c>
      <c r="N73" s="311">
        <v>1.05</v>
      </c>
      <c r="O73" s="311">
        <v>1.1000000000000001</v>
      </c>
      <c r="P73" s="200">
        <f t="shared" si="4"/>
        <v>92400.000000000015</v>
      </c>
      <c r="Q73" s="313">
        <f t="shared" si="5"/>
        <v>1016400.0000000001</v>
      </c>
      <c r="R73" s="304"/>
      <c r="S73" s="315"/>
      <c r="T73" s="315"/>
      <c r="U73" s="315"/>
      <c r="V73" s="315"/>
      <c r="W73" s="316"/>
      <c r="X73" s="257">
        <f t="shared" si="6"/>
        <v>1016400.0000000001</v>
      </c>
    </row>
    <row r="74" spans="1:24" s="196" customFormat="1" ht="18.75" customHeight="1" x14ac:dyDescent="0.2">
      <c r="A74" s="1132"/>
      <c r="B74" s="1230"/>
      <c r="C74" s="1067"/>
      <c r="D74" s="179" t="s">
        <v>49</v>
      </c>
      <c r="E74" s="199"/>
      <c r="F74" s="199"/>
      <c r="G74" s="200"/>
      <c r="H74" s="311"/>
      <c r="I74" s="185"/>
      <c r="J74" s="186">
        <f t="shared" si="3"/>
        <v>0</v>
      </c>
      <c r="K74" s="303">
        <v>125</v>
      </c>
      <c r="L74" s="311">
        <v>1</v>
      </c>
      <c r="M74" s="200">
        <v>60000</v>
      </c>
      <c r="N74" s="311">
        <v>1.05</v>
      </c>
      <c r="O74" s="311">
        <v>1</v>
      </c>
      <c r="P74" s="200">
        <f t="shared" si="4"/>
        <v>63000</v>
      </c>
      <c r="Q74" s="313">
        <f t="shared" si="5"/>
        <v>693000</v>
      </c>
      <c r="R74" s="304"/>
      <c r="S74" s="315"/>
      <c r="T74" s="315"/>
      <c r="U74" s="315"/>
      <c r="V74" s="315"/>
      <c r="W74" s="316"/>
      <c r="X74" s="257">
        <f t="shared" si="6"/>
        <v>693000</v>
      </c>
    </row>
    <row r="75" spans="1:24" s="196" customFormat="1" ht="18.75" customHeight="1" x14ac:dyDescent="0.2">
      <c r="A75" s="1133"/>
      <c r="B75" s="1223"/>
      <c r="C75" s="1066"/>
      <c r="D75" s="179" t="s">
        <v>48</v>
      </c>
      <c r="E75" s="199" t="s">
        <v>186</v>
      </c>
      <c r="F75" s="199">
        <v>1</v>
      </c>
      <c r="G75" s="200">
        <v>60000</v>
      </c>
      <c r="H75" s="311">
        <v>1.05</v>
      </c>
      <c r="I75" s="185">
        <f>G75*H75*F75</f>
        <v>63000</v>
      </c>
      <c r="J75" s="186">
        <f t="shared" si="3"/>
        <v>693000</v>
      </c>
      <c r="K75" s="303"/>
      <c r="L75" s="311"/>
      <c r="M75" s="200"/>
      <c r="N75" s="311"/>
      <c r="O75" s="311"/>
      <c r="P75" s="200"/>
      <c r="Q75" s="313">
        <f t="shared" si="5"/>
        <v>0</v>
      </c>
      <c r="R75" s="304"/>
      <c r="S75" s="315"/>
      <c r="T75" s="315"/>
      <c r="U75" s="315"/>
      <c r="V75" s="315"/>
      <c r="W75" s="316"/>
      <c r="X75" s="257">
        <f t="shared" si="6"/>
        <v>693000</v>
      </c>
    </row>
    <row r="76" spans="1:24" s="196" customFormat="1" ht="18.75" customHeight="1" x14ac:dyDescent="0.2">
      <c r="A76" s="182">
        <v>18</v>
      </c>
      <c r="B76" s="208" t="s">
        <v>47</v>
      </c>
      <c r="C76" s="179" t="s">
        <v>6</v>
      </c>
      <c r="D76" s="179" t="s">
        <v>46</v>
      </c>
      <c r="E76" s="199"/>
      <c r="F76" s="199"/>
      <c r="G76" s="200"/>
      <c r="H76" s="311"/>
      <c r="I76" s="185"/>
      <c r="J76" s="186">
        <f t="shared" si="3"/>
        <v>0</v>
      </c>
      <c r="K76" s="303">
        <v>754</v>
      </c>
      <c r="L76" s="311">
        <v>1</v>
      </c>
      <c r="M76" s="200">
        <v>80000</v>
      </c>
      <c r="N76" s="311">
        <v>1.05</v>
      </c>
      <c r="O76" s="311">
        <v>1</v>
      </c>
      <c r="P76" s="200">
        <f t="shared" si="4"/>
        <v>84000</v>
      </c>
      <c r="Q76" s="313">
        <f t="shared" si="5"/>
        <v>924000</v>
      </c>
      <c r="R76" s="304"/>
      <c r="S76" s="315"/>
      <c r="T76" s="315"/>
      <c r="U76" s="315"/>
      <c r="V76" s="315"/>
      <c r="W76" s="316"/>
      <c r="X76" s="257">
        <f t="shared" si="6"/>
        <v>924000</v>
      </c>
    </row>
    <row r="77" spans="1:24" s="196" customFormat="1" ht="18.75" customHeight="1" x14ac:dyDescent="0.2">
      <c r="A77" s="1122">
        <v>19</v>
      </c>
      <c r="B77" s="1071" t="s">
        <v>45</v>
      </c>
      <c r="C77" s="1071" t="s">
        <v>6</v>
      </c>
      <c r="D77" s="179" t="s">
        <v>44</v>
      </c>
      <c r="E77" s="199"/>
      <c r="F77" s="199"/>
      <c r="G77" s="200"/>
      <c r="H77" s="311"/>
      <c r="I77" s="185"/>
      <c r="J77" s="186">
        <f t="shared" si="3"/>
        <v>0</v>
      </c>
      <c r="K77" s="303">
        <v>317</v>
      </c>
      <c r="L77" s="311">
        <v>1</v>
      </c>
      <c r="M77" s="200">
        <v>60000</v>
      </c>
      <c r="N77" s="311">
        <v>1.05</v>
      </c>
      <c r="O77" s="311">
        <v>1</v>
      </c>
      <c r="P77" s="200">
        <f t="shared" si="4"/>
        <v>63000</v>
      </c>
      <c r="Q77" s="313">
        <f t="shared" si="5"/>
        <v>693000</v>
      </c>
      <c r="R77" s="304"/>
      <c r="S77" s="315"/>
      <c r="T77" s="315"/>
      <c r="U77" s="315"/>
      <c r="V77" s="315"/>
      <c r="W77" s="316"/>
      <c r="X77" s="257">
        <f t="shared" si="6"/>
        <v>693000</v>
      </c>
    </row>
    <row r="78" spans="1:24" s="183" customFormat="1" ht="18.75" customHeight="1" x14ac:dyDescent="0.2">
      <c r="A78" s="1122"/>
      <c r="B78" s="1071"/>
      <c r="C78" s="1071"/>
      <c r="D78" s="179" t="s">
        <v>43</v>
      </c>
      <c r="E78" s="199"/>
      <c r="F78" s="199"/>
      <c r="G78" s="200"/>
      <c r="H78" s="311"/>
      <c r="I78" s="185"/>
      <c r="J78" s="186">
        <f t="shared" si="3"/>
        <v>0</v>
      </c>
      <c r="K78" s="303">
        <v>97</v>
      </c>
      <c r="L78" s="311">
        <v>1</v>
      </c>
      <c r="M78" s="200">
        <v>60000</v>
      </c>
      <c r="N78" s="311">
        <v>1.05</v>
      </c>
      <c r="O78" s="311">
        <v>1.1000000000000001</v>
      </c>
      <c r="P78" s="200">
        <f t="shared" si="4"/>
        <v>69300</v>
      </c>
      <c r="Q78" s="313">
        <f t="shared" si="5"/>
        <v>762300</v>
      </c>
      <c r="R78" s="317"/>
      <c r="S78" s="318"/>
      <c r="T78" s="318"/>
      <c r="U78" s="318"/>
      <c r="V78" s="318"/>
      <c r="W78" s="319"/>
      <c r="X78" s="257">
        <f t="shared" si="6"/>
        <v>762300</v>
      </c>
    </row>
    <row r="79" spans="1:24" s="183" customFormat="1" ht="18.75" customHeight="1" x14ac:dyDescent="0.2">
      <c r="A79" s="1122">
        <v>20</v>
      </c>
      <c r="B79" s="1071" t="s">
        <v>42</v>
      </c>
      <c r="C79" s="179" t="s">
        <v>6</v>
      </c>
      <c r="D79" s="179" t="s">
        <v>196</v>
      </c>
      <c r="E79" s="199"/>
      <c r="F79" s="199"/>
      <c r="G79" s="200"/>
      <c r="H79" s="311"/>
      <c r="I79" s="185"/>
      <c r="J79" s="186">
        <f t="shared" si="3"/>
        <v>0</v>
      </c>
      <c r="K79" s="304" t="s">
        <v>210</v>
      </c>
      <c r="L79" s="311">
        <v>1</v>
      </c>
      <c r="M79" s="200">
        <v>75000</v>
      </c>
      <c r="N79" s="311">
        <v>1.05</v>
      </c>
      <c r="O79" s="311">
        <v>1.1000000000000001</v>
      </c>
      <c r="P79" s="200">
        <f t="shared" si="4"/>
        <v>86625</v>
      </c>
      <c r="Q79" s="313">
        <f t="shared" si="5"/>
        <v>952875</v>
      </c>
      <c r="R79" s="317"/>
      <c r="S79" s="318"/>
      <c r="T79" s="318"/>
      <c r="U79" s="318"/>
      <c r="V79" s="318"/>
      <c r="W79" s="319"/>
      <c r="X79" s="257">
        <f t="shared" si="6"/>
        <v>952875</v>
      </c>
    </row>
    <row r="80" spans="1:24" s="183" customFormat="1" ht="18.75" customHeight="1" x14ac:dyDescent="0.2">
      <c r="A80" s="1122"/>
      <c r="B80" s="1071"/>
      <c r="C80" s="179"/>
      <c r="D80" s="179" t="s">
        <v>195</v>
      </c>
      <c r="E80" s="199"/>
      <c r="F80" s="199"/>
      <c r="G80" s="200"/>
      <c r="H80" s="311"/>
      <c r="I80" s="185"/>
      <c r="J80" s="186">
        <f t="shared" si="3"/>
        <v>0</v>
      </c>
      <c r="K80" s="304" t="s">
        <v>210</v>
      </c>
      <c r="L80" s="311">
        <v>1</v>
      </c>
      <c r="M80" s="200">
        <v>75000</v>
      </c>
      <c r="N80" s="311">
        <v>1.05</v>
      </c>
      <c r="O80" s="311">
        <v>1</v>
      </c>
      <c r="P80" s="200">
        <f t="shared" si="4"/>
        <v>78750</v>
      </c>
      <c r="Q80" s="313">
        <f t="shared" si="5"/>
        <v>866250</v>
      </c>
      <c r="R80" s="317"/>
      <c r="S80" s="318"/>
      <c r="T80" s="318"/>
      <c r="U80" s="318"/>
      <c r="V80" s="318"/>
      <c r="W80" s="319"/>
      <c r="X80" s="257">
        <f t="shared" si="6"/>
        <v>866250</v>
      </c>
    </row>
    <row r="81" spans="1:24" s="183" customFormat="1" ht="18.75" customHeight="1" x14ac:dyDescent="0.2">
      <c r="A81" s="1122"/>
      <c r="B81" s="1071"/>
      <c r="C81" s="179" t="s">
        <v>6</v>
      </c>
      <c r="D81" s="179" t="s">
        <v>40</v>
      </c>
      <c r="E81" s="199"/>
      <c r="F81" s="199"/>
      <c r="G81" s="200"/>
      <c r="H81" s="311"/>
      <c r="I81" s="185"/>
      <c r="J81" s="186">
        <f t="shared" si="3"/>
        <v>0</v>
      </c>
      <c r="K81" s="304" t="s">
        <v>211</v>
      </c>
      <c r="L81" s="311">
        <v>1</v>
      </c>
      <c r="M81" s="200">
        <v>60000</v>
      </c>
      <c r="N81" s="311">
        <v>1.05</v>
      </c>
      <c r="O81" s="311">
        <v>1</v>
      </c>
      <c r="P81" s="200">
        <f t="shared" si="4"/>
        <v>63000</v>
      </c>
      <c r="Q81" s="313">
        <f t="shared" si="5"/>
        <v>693000</v>
      </c>
      <c r="R81" s="317"/>
      <c r="S81" s="318"/>
      <c r="T81" s="318"/>
      <c r="U81" s="318"/>
      <c r="V81" s="318"/>
      <c r="W81" s="319"/>
      <c r="X81" s="257">
        <f t="shared" si="6"/>
        <v>693000</v>
      </c>
    </row>
    <row r="82" spans="1:24" s="183" customFormat="1" ht="18.75" customHeight="1" x14ac:dyDescent="0.2">
      <c r="A82" s="1122">
        <v>21</v>
      </c>
      <c r="B82" s="1071" t="s">
        <v>39</v>
      </c>
      <c r="C82" s="1071" t="s">
        <v>6</v>
      </c>
      <c r="D82" s="179" t="s">
        <v>38</v>
      </c>
      <c r="E82" s="199"/>
      <c r="F82" s="199"/>
      <c r="G82" s="200"/>
      <c r="H82" s="311"/>
      <c r="I82" s="185"/>
      <c r="J82" s="186">
        <f t="shared" si="3"/>
        <v>0</v>
      </c>
      <c r="K82" s="303">
        <v>307</v>
      </c>
      <c r="L82" s="311">
        <v>1</v>
      </c>
      <c r="M82" s="200">
        <v>60000</v>
      </c>
      <c r="N82" s="311">
        <v>1.05</v>
      </c>
      <c r="O82" s="311">
        <v>1.1000000000000001</v>
      </c>
      <c r="P82" s="200">
        <f t="shared" si="4"/>
        <v>69300</v>
      </c>
      <c r="Q82" s="313">
        <f t="shared" si="5"/>
        <v>762300</v>
      </c>
      <c r="R82" s="317"/>
      <c r="S82" s="318"/>
      <c r="T82" s="318"/>
      <c r="U82" s="318"/>
      <c r="V82" s="318"/>
      <c r="W82" s="319"/>
      <c r="X82" s="257">
        <f t="shared" si="6"/>
        <v>762300</v>
      </c>
    </row>
    <row r="83" spans="1:24" s="183" customFormat="1" ht="18.75" customHeight="1" x14ac:dyDescent="0.2">
      <c r="A83" s="1122"/>
      <c r="B83" s="1071"/>
      <c r="C83" s="1071"/>
      <c r="D83" s="179" t="s">
        <v>37</v>
      </c>
      <c r="E83" s="199" t="s">
        <v>186</v>
      </c>
      <c r="F83" s="199">
        <v>1</v>
      </c>
      <c r="G83" s="200">
        <v>60000</v>
      </c>
      <c r="H83" s="311">
        <v>1.05</v>
      </c>
      <c r="I83" s="185">
        <f>G83*H83*F83</f>
        <v>63000</v>
      </c>
      <c r="J83" s="186">
        <f t="shared" si="3"/>
        <v>693000</v>
      </c>
      <c r="K83" s="303"/>
      <c r="L83" s="311"/>
      <c r="M83" s="200"/>
      <c r="N83" s="311"/>
      <c r="O83" s="311"/>
      <c r="P83" s="200"/>
      <c r="Q83" s="313">
        <f t="shared" si="5"/>
        <v>0</v>
      </c>
      <c r="R83" s="317"/>
      <c r="S83" s="318"/>
      <c r="T83" s="318"/>
      <c r="U83" s="318"/>
      <c r="V83" s="318"/>
      <c r="W83" s="319"/>
      <c r="X83" s="257">
        <f t="shared" si="6"/>
        <v>693000</v>
      </c>
    </row>
    <row r="84" spans="1:24" s="183" customFormat="1" ht="18.75" customHeight="1" x14ac:dyDescent="0.2">
      <c r="A84" s="1122"/>
      <c r="B84" s="1071"/>
      <c r="C84" s="1071"/>
      <c r="D84" s="208" t="s">
        <v>36</v>
      </c>
      <c r="E84" s="199" t="s">
        <v>186</v>
      </c>
      <c r="F84" s="199">
        <v>1</v>
      </c>
      <c r="G84" s="200">
        <v>60000</v>
      </c>
      <c r="H84" s="311">
        <v>1.05</v>
      </c>
      <c r="I84" s="185">
        <f>G84*H84*F84</f>
        <v>63000</v>
      </c>
      <c r="J84" s="186">
        <f t="shared" si="3"/>
        <v>693000</v>
      </c>
      <c r="K84" s="303"/>
      <c r="L84" s="311"/>
      <c r="M84" s="200"/>
      <c r="N84" s="311"/>
      <c r="O84" s="311"/>
      <c r="P84" s="200"/>
      <c r="Q84" s="313">
        <f t="shared" si="5"/>
        <v>0</v>
      </c>
      <c r="R84" s="317"/>
      <c r="S84" s="318"/>
      <c r="T84" s="318"/>
      <c r="U84" s="318"/>
      <c r="V84" s="318"/>
      <c r="W84" s="319"/>
      <c r="X84" s="257">
        <f t="shared" si="6"/>
        <v>693000</v>
      </c>
    </row>
    <row r="85" spans="1:24" s="183" customFormat="1" ht="18.75" customHeight="1" x14ac:dyDescent="0.2">
      <c r="A85" s="182">
        <v>22</v>
      </c>
      <c r="B85" s="208" t="s">
        <v>35</v>
      </c>
      <c r="C85" s="179" t="s">
        <v>6</v>
      </c>
      <c r="D85" s="179" t="s">
        <v>34</v>
      </c>
      <c r="E85" s="199"/>
      <c r="F85" s="199"/>
      <c r="G85" s="200"/>
      <c r="H85" s="311"/>
      <c r="I85" s="185"/>
      <c r="J85" s="186">
        <f t="shared" si="3"/>
        <v>0</v>
      </c>
      <c r="K85" s="303">
        <v>643</v>
      </c>
      <c r="L85" s="311">
        <v>1</v>
      </c>
      <c r="M85" s="200">
        <v>80000</v>
      </c>
      <c r="N85" s="311">
        <v>1.05</v>
      </c>
      <c r="O85" s="311">
        <v>1.1000000000000001</v>
      </c>
      <c r="P85" s="200">
        <f t="shared" si="4"/>
        <v>92400.000000000015</v>
      </c>
      <c r="Q85" s="313">
        <f t="shared" si="5"/>
        <v>1016400.0000000001</v>
      </c>
      <c r="R85" s="317"/>
      <c r="S85" s="318"/>
      <c r="T85" s="318"/>
      <c r="U85" s="318"/>
      <c r="V85" s="318"/>
      <c r="W85" s="319"/>
      <c r="X85" s="257">
        <f t="shared" si="6"/>
        <v>1016400.0000000001</v>
      </c>
    </row>
    <row r="86" spans="1:24" s="183" customFormat="1" ht="18.75" customHeight="1" x14ac:dyDescent="0.2">
      <c r="A86" s="182">
        <v>23</v>
      </c>
      <c r="B86" s="208" t="s">
        <v>33</v>
      </c>
      <c r="C86" s="179" t="s">
        <v>6</v>
      </c>
      <c r="D86" s="179" t="s">
        <v>33</v>
      </c>
      <c r="E86" s="199"/>
      <c r="F86" s="199"/>
      <c r="G86" s="200"/>
      <c r="H86" s="311"/>
      <c r="I86" s="185"/>
      <c r="J86" s="186">
        <f t="shared" si="3"/>
        <v>0</v>
      </c>
      <c r="K86" s="303">
        <v>374</v>
      </c>
      <c r="L86" s="311">
        <v>1</v>
      </c>
      <c r="M86" s="200">
        <v>60000</v>
      </c>
      <c r="N86" s="311">
        <v>1.05</v>
      </c>
      <c r="O86" s="311">
        <v>1.1000000000000001</v>
      </c>
      <c r="P86" s="200">
        <f t="shared" si="4"/>
        <v>69300</v>
      </c>
      <c r="Q86" s="313">
        <f t="shared" si="5"/>
        <v>762300</v>
      </c>
      <c r="R86" s="317"/>
      <c r="S86" s="318"/>
      <c r="T86" s="318"/>
      <c r="U86" s="318"/>
      <c r="V86" s="318"/>
      <c r="W86" s="319"/>
      <c r="X86" s="257">
        <f t="shared" si="6"/>
        <v>762300</v>
      </c>
    </row>
    <row r="87" spans="1:24" s="183" customFormat="1" ht="18.75" customHeight="1" x14ac:dyDescent="0.2">
      <c r="A87" s="1122">
        <v>24</v>
      </c>
      <c r="B87" s="1071" t="s">
        <v>32</v>
      </c>
      <c r="C87" s="1071" t="s">
        <v>6</v>
      </c>
      <c r="D87" s="179" t="s">
        <v>31</v>
      </c>
      <c r="E87" s="199"/>
      <c r="F87" s="199"/>
      <c r="G87" s="200"/>
      <c r="H87" s="311"/>
      <c r="I87" s="185"/>
      <c r="J87" s="186">
        <f t="shared" si="3"/>
        <v>0</v>
      </c>
      <c r="K87" s="303">
        <v>518</v>
      </c>
      <c r="L87" s="311">
        <v>1</v>
      </c>
      <c r="M87" s="200">
        <v>75000</v>
      </c>
      <c r="N87" s="311">
        <v>1.05</v>
      </c>
      <c r="O87" s="311">
        <v>1</v>
      </c>
      <c r="P87" s="200">
        <f t="shared" si="4"/>
        <v>78750</v>
      </c>
      <c r="Q87" s="313">
        <f t="shared" si="5"/>
        <v>866250</v>
      </c>
      <c r="R87" s="317"/>
      <c r="S87" s="318"/>
      <c r="T87" s="318"/>
      <c r="U87" s="318"/>
      <c r="V87" s="318"/>
      <c r="W87" s="319"/>
      <c r="X87" s="257">
        <f t="shared" si="6"/>
        <v>866250</v>
      </c>
    </row>
    <row r="88" spans="1:24" s="183" customFormat="1" ht="18.75" customHeight="1" x14ac:dyDescent="0.2">
      <c r="A88" s="1122"/>
      <c r="B88" s="1071"/>
      <c r="C88" s="1071"/>
      <c r="D88" s="179" t="s">
        <v>31</v>
      </c>
      <c r="E88" s="199" t="s">
        <v>185</v>
      </c>
      <c r="F88" s="199">
        <v>1</v>
      </c>
      <c r="G88" s="200">
        <v>65000</v>
      </c>
      <c r="H88" s="311">
        <v>1.05</v>
      </c>
      <c r="I88" s="185">
        <f>G88*H88*F88</f>
        <v>68250</v>
      </c>
      <c r="J88" s="186">
        <f t="shared" si="3"/>
        <v>750750</v>
      </c>
      <c r="K88" s="303"/>
      <c r="L88" s="311"/>
      <c r="M88" s="200"/>
      <c r="N88" s="311"/>
      <c r="O88" s="311"/>
      <c r="P88" s="200"/>
      <c r="Q88" s="313">
        <f t="shared" si="5"/>
        <v>0</v>
      </c>
      <c r="R88" s="317"/>
      <c r="S88" s="318"/>
      <c r="T88" s="318"/>
      <c r="U88" s="318"/>
      <c r="V88" s="318"/>
      <c r="W88" s="319"/>
      <c r="X88" s="257">
        <f t="shared" si="6"/>
        <v>750750</v>
      </c>
    </row>
    <row r="89" spans="1:24" s="183" customFormat="1" ht="18.75" customHeight="1" x14ac:dyDescent="0.2">
      <c r="A89" s="1122"/>
      <c r="B89" s="1071"/>
      <c r="C89" s="1071"/>
      <c r="D89" s="179" t="s">
        <v>30</v>
      </c>
      <c r="E89" s="199" t="s">
        <v>185</v>
      </c>
      <c r="F89" s="199">
        <v>1</v>
      </c>
      <c r="G89" s="200">
        <v>65000</v>
      </c>
      <c r="H89" s="311">
        <v>1.05</v>
      </c>
      <c r="I89" s="185">
        <f>G89*H89*F89</f>
        <v>68250</v>
      </c>
      <c r="J89" s="186">
        <f t="shared" si="3"/>
        <v>750750</v>
      </c>
      <c r="K89" s="303"/>
      <c r="L89" s="311"/>
      <c r="M89" s="200"/>
      <c r="N89" s="311"/>
      <c r="O89" s="311"/>
      <c r="P89" s="200"/>
      <c r="Q89" s="313">
        <f t="shared" si="5"/>
        <v>0</v>
      </c>
      <c r="R89" s="317"/>
      <c r="S89" s="318"/>
      <c r="T89" s="318"/>
      <c r="U89" s="318"/>
      <c r="V89" s="318"/>
      <c r="W89" s="319"/>
      <c r="X89" s="257">
        <f t="shared" si="6"/>
        <v>750750</v>
      </c>
    </row>
    <row r="90" spans="1:24" s="183" customFormat="1" ht="18.75" customHeight="1" x14ac:dyDescent="0.2">
      <c r="A90" s="1122">
        <v>25</v>
      </c>
      <c r="B90" s="1222" t="s">
        <v>29</v>
      </c>
      <c r="C90" s="1071" t="s">
        <v>6</v>
      </c>
      <c r="D90" s="179" t="s">
        <v>28</v>
      </c>
      <c r="E90" s="199"/>
      <c r="F90" s="199"/>
      <c r="G90" s="200"/>
      <c r="H90" s="311"/>
      <c r="I90" s="185"/>
      <c r="J90" s="186">
        <f t="shared" si="3"/>
        <v>0</v>
      </c>
      <c r="K90" s="303">
        <v>540</v>
      </c>
      <c r="L90" s="311">
        <v>1</v>
      </c>
      <c r="M90" s="200">
        <v>75000</v>
      </c>
      <c r="N90" s="311">
        <v>1.05</v>
      </c>
      <c r="O90" s="311">
        <v>1</v>
      </c>
      <c r="P90" s="200">
        <f t="shared" si="4"/>
        <v>78750</v>
      </c>
      <c r="Q90" s="313">
        <f t="shared" si="5"/>
        <v>866250</v>
      </c>
      <c r="R90" s="317"/>
      <c r="S90" s="318"/>
      <c r="T90" s="318"/>
      <c r="U90" s="318"/>
      <c r="V90" s="318"/>
      <c r="W90" s="319"/>
      <c r="X90" s="257">
        <f t="shared" si="6"/>
        <v>866250</v>
      </c>
    </row>
    <row r="91" spans="1:24" s="183" customFormat="1" ht="18.75" customHeight="1" x14ac:dyDescent="0.2">
      <c r="A91" s="1122"/>
      <c r="B91" s="1230"/>
      <c r="C91" s="1071"/>
      <c r="D91" s="179" t="s">
        <v>27</v>
      </c>
      <c r="E91" s="199" t="s">
        <v>185</v>
      </c>
      <c r="F91" s="199">
        <v>1</v>
      </c>
      <c r="G91" s="200">
        <v>65000</v>
      </c>
      <c r="H91" s="311">
        <v>1.05</v>
      </c>
      <c r="I91" s="185">
        <f>G91*H91*F91</f>
        <v>68250</v>
      </c>
      <c r="J91" s="186">
        <f t="shared" si="3"/>
        <v>750750</v>
      </c>
      <c r="K91" s="303"/>
      <c r="L91" s="311"/>
      <c r="M91" s="200"/>
      <c r="N91" s="311"/>
      <c r="O91" s="311"/>
      <c r="P91" s="200"/>
      <c r="Q91" s="313">
        <f t="shared" si="5"/>
        <v>0</v>
      </c>
      <c r="R91" s="317"/>
      <c r="S91" s="318"/>
      <c r="T91" s="318"/>
      <c r="U91" s="318"/>
      <c r="V91" s="318"/>
      <c r="W91" s="319"/>
      <c r="X91" s="257">
        <f t="shared" si="6"/>
        <v>750750</v>
      </c>
    </row>
    <row r="92" spans="1:24" s="183" customFormat="1" ht="18.75" customHeight="1" x14ac:dyDescent="0.2">
      <c r="A92" s="1122">
        <v>26</v>
      </c>
      <c r="B92" s="1071" t="s">
        <v>26</v>
      </c>
      <c r="C92" s="1071" t="s">
        <v>6</v>
      </c>
      <c r="D92" s="179" t="s">
        <v>25</v>
      </c>
      <c r="E92" s="199"/>
      <c r="F92" s="199"/>
      <c r="G92" s="200"/>
      <c r="H92" s="311"/>
      <c r="I92" s="185"/>
      <c r="J92" s="186">
        <f t="shared" si="3"/>
        <v>0</v>
      </c>
      <c r="K92" s="303">
        <v>114</v>
      </c>
      <c r="L92" s="311">
        <v>1</v>
      </c>
      <c r="M92" s="200">
        <v>60000</v>
      </c>
      <c r="N92" s="311">
        <v>1.05</v>
      </c>
      <c r="O92" s="311">
        <v>1</v>
      </c>
      <c r="P92" s="200">
        <f t="shared" si="4"/>
        <v>63000</v>
      </c>
      <c r="Q92" s="313">
        <f t="shared" si="5"/>
        <v>693000</v>
      </c>
      <c r="R92" s="317"/>
      <c r="S92" s="318"/>
      <c r="T92" s="318"/>
      <c r="U92" s="318"/>
      <c r="V92" s="318"/>
      <c r="W92" s="319"/>
      <c r="X92" s="257">
        <f t="shared" si="6"/>
        <v>693000</v>
      </c>
    </row>
    <row r="93" spans="1:24" s="183" customFormat="1" ht="18.75" customHeight="1" x14ac:dyDescent="0.2">
      <c r="A93" s="1122"/>
      <c r="B93" s="1071"/>
      <c r="C93" s="1071"/>
      <c r="D93" s="179" t="s">
        <v>24</v>
      </c>
      <c r="E93" s="199"/>
      <c r="F93" s="199"/>
      <c r="G93" s="200"/>
      <c r="H93" s="311"/>
      <c r="I93" s="185"/>
      <c r="J93" s="186">
        <f t="shared" si="3"/>
        <v>0</v>
      </c>
      <c r="K93" s="303">
        <v>86</v>
      </c>
      <c r="L93" s="311">
        <v>1</v>
      </c>
      <c r="M93" s="200">
        <v>60000</v>
      </c>
      <c r="N93" s="311">
        <v>1.05</v>
      </c>
      <c r="O93" s="311">
        <v>1</v>
      </c>
      <c r="P93" s="200">
        <f t="shared" si="4"/>
        <v>63000</v>
      </c>
      <c r="Q93" s="313">
        <f t="shared" si="5"/>
        <v>693000</v>
      </c>
      <c r="R93" s="317"/>
      <c r="S93" s="318"/>
      <c r="T93" s="318"/>
      <c r="U93" s="318"/>
      <c r="V93" s="318"/>
      <c r="W93" s="319"/>
      <c r="X93" s="257">
        <f t="shared" si="6"/>
        <v>693000</v>
      </c>
    </row>
    <row r="94" spans="1:24" s="183" customFormat="1" ht="18.75" customHeight="1" x14ac:dyDescent="0.2">
      <c r="A94" s="182">
        <v>27</v>
      </c>
      <c r="B94" s="208" t="s">
        <v>23</v>
      </c>
      <c r="C94" s="179"/>
      <c r="D94" s="179"/>
      <c r="E94" s="199"/>
      <c r="F94" s="199"/>
      <c r="G94" s="200"/>
      <c r="H94" s="311"/>
      <c r="I94" s="185"/>
      <c r="J94" s="186">
        <f t="shared" si="3"/>
        <v>0</v>
      </c>
      <c r="K94" s="303">
        <v>165</v>
      </c>
      <c r="L94" s="311">
        <v>0</v>
      </c>
      <c r="M94" s="200">
        <v>0</v>
      </c>
      <c r="N94" s="311"/>
      <c r="O94" s="311">
        <v>0</v>
      </c>
      <c r="P94" s="200">
        <f t="shared" si="4"/>
        <v>0</v>
      </c>
      <c r="Q94" s="313">
        <f t="shared" si="5"/>
        <v>0</v>
      </c>
      <c r="R94" s="317"/>
      <c r="S94" s="318"/>
      <c r="T94" s="318"/>
      <c r="U94" s="318"/>
      <c r="V94" s="318"/>
      <c r="W94" s="319"/>
      <c r="X94" s="257">
        <f t="shared" si="6"/>
        <v>0</v>
      </c>
    </row>
    <row r="95" spans="1:24" s="183" customFormat="1" ht="18.75" customHeight="1" x14ac:dyDescent="0.2">
      <c r="A95" s="1116">
        <v>28</v>
      </c>
      <c r="B95" s="1222" t="s">
        <v>22</v>
      </c>
      <c r="C95" s="1065"/>
      <c r="D95" s="179" t="s">
        <v>193</v>
      </c>
      <c r="E95" s="199" t="s">
        <v>185</v>
      </c>
      <c r="F95" s="199">
        <v>1</v>
      </c>
      <c r="G95" s="200">
        <v>65000</v>
      </c>
      <c r="H95" s="311">
        <v>1.05</v>
      </c>
      <c r="I95" s="185">
        <f>G95*H95*F95</f>
        <v>68250</v>
      </c>
      <c r="J95" s="186">
        <f t="shared" si="3"/>
        <v>750750</v>
      </c>
      <c r="K95" s="303"/>
      <c r="L95" s="311"/>
      <c r="M95" s="200"/>
      <c r="N95" s="311"/>
      <c r="O95" s="311"/>
      <c r="P95" s="200"/>
      <c r="Q95" s="313">
        <f t="shared" si="5"/>
        <v>0</v>
      </c>
      <c r="R95" s="317"/>
      <c r="S95" s="318"/>
      <c r="T95" s="318"/>
      <c r="U95" s="318"/>
      <c r="V95" s="318"/>
      <c r="W95" s="319"/>
      <c r="X95" s="257">
        <f t="shared" si="6"/>
        <v>750750</v>
      </c>
    </row>
    <row r="96" spans="1:24" s="183" customFormat="1" ht="18.75" customHeight="1" x14ac:dyDescent="0.2">
      <c r="A96" s="1130"/>
      <c r="B96" s="1230"/>
      <c r="C96" s="1067"/>
      <c r="D96" s="179" t="s">
        <v>194</v>
      </c>
      <c r="E96" s="199" t="s">
        <v>185</v>
      </c>
      <c r="F96" s="199">
        <v>1</v>
      </c>
      <c r="G96" s="200">
        <v>65000</v>
      </c>
      <c r="H96" s="311">
        <v>1.05</v>
      </c>
      <c r="I96" s="185">
        <f>G96*H96*F96</f>
        <v>68250</v>
      </c>
      <c r="J96" s="186">
        <f t="shared" si="3"/>
        <v>750750</v>
      </c>
      <c r="K96" s="303"/>
      <c r="L96" s="311"/>
      <c r="M96" s="200"/>
      <c r="N96" s="311"/>
      <c r="O96" s="311"/>
      <c r="P96" s="200"/>
      <c r="Q96" s="313">
        <f t="shared" si="5"/>
        <v>0</v>
      </c>
      <c r="R96" s="317"/>
      <c r="S96" s="318"/>
      <c r="T96" s="318"/>
      <c r="U96" s="318"/>
      <c r="V96" s="318"/>
      <c r="W96" s="319"/>
      <c r="X96" s="257">
        <f t="shared" si="6"/>
        <v>750750</v>
      </c>
    </row>
    <row r="97" spans="1:28" s="183" customFormat="1" ht="18.75" customHeight="1" x14ac:dyDescent="0.2">
      <c r="A97" s="1117"/>
      <c r="B97" s="1223"/>
      <c r="C97" s="1066"/>
      <c r="D97" s="179" t="s">
        <v>192</v>
      </c>
      <c r="E97" s="199"/>
      <c r="F97" s="199"/>
      <c r="G97" s="200"/>
      <c r="H97" s="311"/>
      <c r="I97" s="185"/>
      <c r="J97" s="186">
        <f t="shared" si="3"/>
        <v>0</v>
      </c>
      <c r="K97" s="303">
        <v>643</v>
      </c>
      <c r="L97" s="311">
        <v>1</v>
      </c>
      <c r="M97" s="200">
        <v>80000</v>
      </c>
      <c r="N97" s="311">
        <v>1.05</v>
      </c>
      <c r="O97" s="311">
        <v>1.1000000000000001</v>
      </c>
      <c r="P97" s="200">
        <f t="shared" si="4"/>
        <v>92400.000000000015</v>
      </c>
      <c r="Q97" s="313">
        <f t="shared" si="5"/>
        <v>1016400.0000000001</v>
      </c>
      <c r="R97" s="317"/>
      <c r="S97" s="318"/>
      <c r="T97" s="318"/>
      <c r="U97" s="318"/>
      <c r="V97" s="318"/>
      <c r="W97" s="319"/>
      <c r="X97" s="257">
        <f t="shared" si="6"/>
        <v>1016400.0000000001</v>
      </c>
    </row>
    <row r="98" spans="1:28" s="183" customFormat="1" ht="18.75" customHeight="1" x14ac:dyDescent="0.2">
      <c r="A98" s="1126">
        <v>29</v>
      </c>
      <c r="B98" s="1071" t="s">
        <v>21</v>
      </c>
      <c r="C98" s="1065"/>
      <c r="D98" s="179" t="s">
        <v>189</v>
      </c>
      <c r="E98" s="199" t="s">
        <v>185</v>
      </c>
      <c r="F98" s="199">
        <v>1</v>
      </c>
      <c r="G98" s="200">
        <v>65000</v>
      </c>
      <c r="H98" s="311">
        <v>1.05</v>
      </c>
      <c r="I98" s="185">
        <f>G98*H98*F98</f>
        <v>68250</v>
      </c>
      <c r="J98" s="186">
        <f t="shared" si="3"/>
        <v>750750</v>
      </c>
      <c r="K98" s="303"/>
      <c r="L98" s="311"/>
      <c r="M98" s="200"/>
      <c r="N98" s="311"/>
      <c r="O98" s="311"/>
      <c r="P98" s="200"/>
      <c r="Q98" s="313">
        <f t="shared" si="5"/>
        <v>0</v>
      </c>
      <c r="R98" s="317"/>
      <c r="S98" s="318"/>
      <c r="T98" s="318"/>
      <c r="U98" s="318"/>
      <c r="V98" s="318"/>
      <c r="W98" s="319"/>
      <c r="X98" s="257">
        <f t="shared" si="6"/>
        <v>750750</v>
      </c>
    </row>
    <row r="99" spans="1:28" s="183" customFormat="1" ht="18.75" customHeight="1" x14ac:dyDescent="0.2">
      <c r="A99" s="1127"/>
      <c r="B99" s="1071"/>
      <c r="C99" s="1067"/>
      <c r="D99" s="179" t="s">
        <v>190</v>
      </c>
      <c r="E99" s="199" t="s">
        <v>185</v>
      </c>
      <c r="F99" s="199">
        <v>1</v>
      </c>
      <c r="G99" s="200">
        <v>65000</v>
      </c>
      <c r="H99" s="311">
        <v>1.05</v>
      </c>
      <c r="I99" s="185">
        <f>G99*H99*F99</f>
        <v>68250</v>
      </c>
      <c r="J99" s="186">
        <f t="shared" si="3"/>
        <v>750750</v>
      </c>
      <c r="K99" s="303"/>
      <c r="L99" s="311"/>
      <c r="M99" s="200"/>
      <c r="N99" s="311"/>
      <c r="O99" s="311"/>
      <c r="P99" s="200"/>
      <c r="Q99" s="313">
        <f t="shared" si="5"/>
        <v>0</v>
      </c>
      <c r="R99" s="317"/>
      <c r="S99" s="318"/>
      <c r="T99" s="318"/>
      <c r="U99" s="318"/>
      <c r="V99" s="318"/>
      <c r="W99" s="319"/>
      <c r="X99" s="257">
        <f t="shared" si="6"/>
        <v>750750</v>
      </c>
    </row>
    <row r="100" spans="1:28" s="183" customFormat="1" ht="18.75" customHeight="1" x14ac:dyDescent="0.2">
      <c r="A100" s="1127"/>
      <c r="B100" s="1071"/>
      <c r="C100" s="1067"/>
      <c r="D100" s="179" t="s">
        <v>191</v>
      </c>
      <c r="E100" s="199" t="s">
        <v>185</v>
      </c>
      <c r="F100" s="199">
        <v>1</v>
      </c>
      <c r="G100" s="200">
        <v>65000</v>
      </c>
      <c r="H100" s="311">
        <v>1.05</v>
      </c>
      <c r="I100" s="185">
        <f>G100*H100*F100</f>
        <v>68250</v>
      </c>
      <c r="J100" s="186">
        <f t="shared" si="3"/>
        <v>750750</v>
      </c>
      <c r="K100" s="303"/>
      <c r="L100" s="311"/>
      <c r="M100" s="200"/>
      <c r="N100" s="311"/>
      <c r="O100" s="311"/>
      <c r="P100" s="200"/>
      <c r="Q100" s="313">
        <f t="shared" si="5"/>
        <v>0</v>
      </c>
      <c r="R100" s="317"/>
      <c r="S100" s="318"/>
      <c r="T100" s="318"/>
      <c r="U100" s="318"/>
      <c r="V100" s="318"/>
      <c r="W100" s="319"/>
      <c r="X100" s="257">
        <f t="shared" si="6"/>
        <v>750750</v>
      </c>
    </row>
    <row r="101" spans="1:28" s="183" customFormat="1" ht="18.75" customHeight="1" x14ac:dyDescent="0.2">
      <c r="A101" s="1127"/>
      <c r="B101" s="1071"/>
      <c r="C101" s="1067"/>
      <c r="D101" s="179" t="s">
        <v>184</v>
      </c>
      <c r="E101" s="199"/>
      <c r="F101" s="199"/>
      <c r="G101" s="200"/>
      <c r="H101" s="311"/>
      <c r="I101" s="185"/>
      <c r="J101" s="186">
        <f t="shared" si="3"/>
        <v>0</v>
      </c>
      <c r="K101" s="304" t="s">
        <v>198</v>
      </c>
      <c r="L101" s="330">
        <v>1</v>
      </c>
      <c r="M101" s="200">
        <v>85000</v>
      </c>
      <c r="N101" s="311">
        <v>1.05</v>
      </c>
      <c r="O101" s="311">
        <v>1</v>
      </c>
      <c r="P101" s="200">
        <f t="shared" si="4"/>
        <v>89250</v>
      </c>
      <c r="Q101" s="331">
        <f t="shared" si="5"/>
        <v>981750</v>
      </c>
      <c r="R101" s="317"/>
      <c r="S101" s="318"/>
      <c r="T101" s="318"/>
      <c r="U101" s="318"/>
      <c r="V101" s="318"/>
      <c r="W101" s="319"/>
      <c r="X101" s="257">
        <f t="shared" si="6"/>
        <v>981750</v>
      </c>
    </row>
    <row r="102" spans="1:28" s="183" customFormat="1" ht="18.75" customHeight="1" x14ac:dyDescent="0.2">
      <c r="A102" s="1231"/>
      <c r="B102" s="1071"/>
      <c r="C102" s="1066"/>
      <c r="D102" s="179" t="s">
        <v>184</v>
      </c>
      <c r="E102" s="199"/>
      <c r="F102" s="199"/>
      <c r="G102" s="200"/>
      <c r="H102" s="311"/>
      <c r="I102" s="185"/>
      <c r="J102" s="186">
        <f t="shared" si="3"/>
        <v>0</v>
      </c>
      <c r="K102" s="304" t="s">
        <v>198</v>
      </c>
      <c r="L102" s="311">
        <v>1</v>
      </c>
      <c r="M102" s="200">
        <v>85000</v>
      </c>
      <c r="N102" s="311">
        <v>1.05</v>
      </c>
      <c r="O102" s="311">
        <v>1.1000000000000001</v>
      </c>
      <c r="P102" s="200">
        <f t="shared" si="4"/>
        <v>98175.000000000015</v>
      </c>
      <c r="Q102" s="313">
        <f t="shared" si="5"/>
        <v>1079925.0000000002</v>
      </c>
      <c r="R102" s="317"/>
      <c r="S102" s="318"/>
      <c r="T102" s="318"/>
      <c r="U102" s="318"/>
      <c r="V102" s="318"/>
      <c r="W102" s="319"/>
      <c r="X102" s="257">
        <f t="shared" si="6"/>
        <v>1079925.0000000002</v>
      </c>
      <c r="AA102" s="213"/>
      <c r="AB102" s="213"/>
    </row>
    <row r="103" spans="1:28" s="183" customFormat="1" ht="18.75" customHeight="1" x14ac:dyDescent="0.2">
      <c r="A103" s="1130">
        <v>30</v>
      </c>
      <c r="B103" s="1237" t="s">
        <v>176</v>
      </c>
      <c r="C103" s="207"/>
      <c r="D103" s="179" t="s">
        <v>183</v>
      </c>
      <c r="E103" s="199"/>
      <c r="F103" s="199"/>
      <c r="G103" s="200"/>
      <c r="H103" s="311"/>
      <c r="I103" s="185"/>
      <c r="J103" s="186">
        <f t="shared" si="3"/>
        <v>0</v>
      </c>
      <c r="K103" s="303">
        <v>1119</v>
      </c>
      <c r="L103" s="330">
        <v>1</v>
      </c>
      <c r="M103" s="200">
        <v>85000</v>
      </c>
      <c r="N103" s="311">
        <v>1.05</v>
      </c>
      <c r="O103" s="311">
        <v>1</v>
      </c>
      <c r="P103" s="200">
        <f t="shared" si="4"/>
        <v>89250</v>
      </c>
      <c r="Q103" s="331">
        <f t="shared" si="5"/>
        <v>981750</v>
      </c>
      <c r="R103" s="317"/>
      <c r="S103" s="318"/>
      <c r="T103" s="318"/>
      <c r="U103" s="318"/>
      <c r="V103" s="318"/>
      <c r="W103" s="319"/>
      <c r="X103" s="257">
        <f t="shared" si="6"/>
        <v>981750</v>
      </c>
      <c r="AA103" s="214"/>
      <c r="AB103" s="214"/>
    </row>
    <row r="104" spans="1:28" s="183" customFormat="1" ht="18.75" customHeight="1" x14ac:dyDescent="0.2">
      <c r="A104" s="1117"/>
      <c r="B104" s="1238"/>
      <c r="C104" s="207"/>
      <c r="D104" s="179" t="s">
        <v>183</v>
      </c>
      <c r="E104" s="199"/>
      <c r="F104" s="199"/>
      <c r="G104" s="200"/>
      <c r="H104" s="311"/>
      <c r="I104" s="185"/>
      <c r="J104" s="186">
        <f t="shared" si="3"/>
        <v>0</v>
      </c>
      <c r="K104" s="303">
        <v>1119</v>
      </c>
      <c r="L104" s="311">
        <v>1</v>
      </c>
      <c r="M104" s="200">
        <v>85000</v>
      </c>
      <c r="N104" s="311">
        <v>1.05</v>
      </c>
      <c r="O104" s="311">
        <v>1.1000000000000001</v>
      </c>
      <c r="P104" s="200">
        <f t="shared" si="4"/>
        <v>98175.000000000015</v>
      </c>
      <c r="Q104" s="313">
        <f t="shared" si="5"/>
        <v>1079925.0000000002</v>
      </c>
      <c r="R104" s="317"/>
      <c r="S104" s="318"/>
      <c r="T104" s="318"/>
      <c r="U104" s="318"/>
      <c r="V104" s="318"/>
      <c r="W104" s="319"/>
      <c r="X104" s="257">
        <f t="shared" si="6"/>
        <v>1079925.0000000002</v>
      </c>
      <c r="AA104" s="214"/>
      <c r="AB104" s="214"/>
    </row>
    <row r="105" spans="1:28" s="201" customFormat="1" ht="18.75" customHeight="1" x14ac:dyDescent="0.2">
      <c r="A105" s="246"/>
      <c r="B105" s="247" t="s">
        <v>1</v>
      </c>
      <c r="C105" s="247"/>
      <c r="D105" s="248"/>
      <c r="E105" s="249"/>
      <c r="F105" s="249">
        <f>SUM(F41:F104)</f>
        <v>21</v>
      </c>
      <c r="G105" s="249"/>
      <c r="H105" s="249"/>
      <c r="I105" s="243"/>
      <c r="J105" s="251">
        <f>SUM(J41:J104)</f>
        <v>15361500</v>
      </c>
      <c r="K105" s="250"/>
      <c r="L105" s="249">
        <f>SUM(L41:L104)</f>
        <v>42</v>
      </c>
      <c r="M105" s="249"/>
      <c r="N105" s="249"/>
      <c r="O105" s="249"/>
      <c r="P105" s="249"/>
      <c r="Q105" s="251">
        <f>SUM(Q41:Q104)</f>
        <v>36965775</v>
      </c>
      <c r="R105" s="250"/>
      <c r="S105" s="249"/>
      <c r="T105" s="249"/>
      <c r="U105" s="249"/>
      <c r="V105" s="249"/>
      <c r="W105" s="251"/>
      <c r="X105" s="258">
        <f t="shared" si="6"/>
        <v>52327275</v>
      </c>
      <c r="Y105" s="175"/>
      <c r="Z105" s="237"/>
      <c r="AA105" s="214"/>
      <c r="AB105" s="214"/>
    </row>
    <row r="106" spans="1:28" s="196" customFormat="1" ht="18.75" customHeight="1" x14ac:dyDescent="0.2">
      <c r="A106" s="1197" t="s">
        <v>18</v>
      </c>
      <c r="B106" s="1198"/>
      <c r="C106" s="1198"/>
      <c r="D106" s="1198"/>
      <c r="E106" s="1198"/>
      <c r="F106" s="1198"/>
      <c r="G106" s="210"/>
      <c r="H106" s="210"/>
      <c r="I106" s="185"/>
      <c r="J106" s="186"/>
      <c r="K106" s="187"/>
      <c r="L106" s="179"/>
      <c r="M106" s="179"/>
      <c r="N106" s="179"/>
      <c r="O106" s="179"/>
      <c r="P106" s="180"/>
      <c r="Q106" s="181"/>
      <c r="R106" s="193"/>
      <c r="S106" s="194"/>
      <c r="T106" s="194"/>
      <c r="U106" s="194"/>
      <c r="V106" s="194"/>
      <c r="W106" s="195"/>
      <c r="X106" s="257"/>
    </row>
    <row r="107" spans="1:28" s="201" customFormat="1" ht="18.75" customHeight="1" x14ac:dyDescent="0.2">
      <c r="A107" s="182">
        <v>1</v>
      </c>
      <c r="B107" s="179" t="s">
        <v>14</v>
      </c>
      <c r="C107" s="194" t="s">
        <v>6</v>
      </c>
      <c r="D107" s="179" t="s">
        <v>13</v>
      </c>
      <c r="E107" s="200"/>
      <c r="F107" s="200"/>
      <c r="G107" s="200"/>
      <c r="H107" s="311"/>
      <c r="I107" s="185"/>
      <c r="J107" s="186">
        <f>I107*11</f>
        <v>0</v>
      </c>
      <c r="K107" s="320"/>
      <c r="L107" s="200"/>
      <c r="M107" s="200"/>
      <c r="N107" s="200"/>
      <c r="O107" s="200"/>
      <c r="P107" s="200"/>
      <c r="Q107" s="313">
        <f>P107*11</f>
        <v>0</v>
      </c>
      <c r="R107" s="303" t="s">
        <v>199</v>
      </c>
      <c r="S107" s="311">
        <v>1</v>
      </c>
      <c r="T107" s="200">
        <v>70000</v>
      </c>
      <c r="U107" s="321">
        <v>1.05</v>
      </c>
      <c r="V107" s="200">
        <f t="shared" ref="V107:V115" si="7">T107*U107*S107</f>
        <v>73500</v>
      </c>
      <c r="W107" s="313">
        <f>V107*11</f>
        <v>808500</v>
      </c>
      <c r="X107" s="257">
        <f t="shared" si="6"/>
        <v>808500</v>
      </c>
    </row>
    <row r="108" spans="1:28" s="201" customFormat="1" ht="18.75" customHeight="1" x14ac:dyDescent="0.2">
      <c r="A108" s="1122">
        <v>2</v>
      </c>
      <c r="B108" s="1071" t="s">
        <v>12</v>
      </c>
      <c r="C108" s="1071" t="s">
        <v>6</v>
      </c>
      <c r="D108" s="179" t="s">
        <v>11</v>
      </c>
      <c r="E108" s="200"/>
      <c r="F108" s="200"/>
      <c r="G108" s="200"/>
      <c r="H108" s="311"/>
      <c r="I108" s="185"/>
      <c r="J108" s="186">
        <f t="shared" ref="J108:J115" si="8">I108*11</f>
        <v>0</v>
      </c>
      <c r="K108" s="320"/>
      <c r="L108" s="200"/>
      <c r="M108" s="200"/>
      <c r="N108" s="200"/>
      <c r="O108" s="200"/>
      <c r="P108" s="200"/>
      <c r="Q108" s="313">
        <f t="shared" ref="Q108:Q115" si="9">P108*11</f>
        <v>0</v>
      </c>
      <c r="R108" s="303" t="s">
        <v>198</v>
      </c>
      <c r="S108" s="311">
        <v>1</v>
      </c>
      <c r="T108" s="200">
        <v>75000</v>
      </c>
      <c r="U108" s="321">
        <v>1.05</v>
      </c>
      <c r="V108" s="200">
        <f t="shared" si="7"/>
        <v>78750</v>
      </c>
      <c r="W108" s="313">
        <f t="shared" ref="W108:W115" si="10">V108*11</f>
        <v>866250</v>
      </c>
      <c r="X108" s="257">
        <f t="shared" si="6"/>
        <v>866250</v>
      </c>
    </row>
    <row r="109" spans="1:28" s="201" customFormat="1" ht="18.75" customHeight="1" x14ac:dyDescent="0.2">
      <c r="A109" s="1122"/>
      <c r="B109" s="1071"/>
      <c r="C109" s="1071"/>
      <c r="D109" s="179" t="s">
        <v>10</v>
      </c>
      <c r="E109" s="200"/>
      <c r="F109" s="200"/>
      <c r="G109" s="200"/>
      <c r="H109" s="311"/>
      <c r="I109" s="185"/>
      <c r="J109" s="186">
        <f t="shared" si="8"/>
        <v>0</v>
      </c>
      <c r="K109" s="320"/>
      <c r="L109" s="200"/>
      <c r="M109" s="200"/>
      <c r="N109" s="200"/>
      <c r="O109" s="200"/>
      <c r="P109" s="200"/>
      <c r="Q109" s="313">
        <f t="shared" si="9"/>
        <v>0</v>
      </c>
      <c r="R109" s="303" t="s">
        <v>198</v>
      </c>
      <c r="S109" s="311">
        <v>1</v>
      </c>
      <c r="T109" s="200">
        <v>75000</v>
      </c>
      <c r="U109" s="321">
        <v>1.05</v>
      </c>
      <c r="V109" s="200">
        <f t="shared" si="7"/>
        <v>78750</v>
      </c>
      <c r="W109" s="313">
        <f t="shared" si="10"/>
        <v>866250</v>
      </c>
      <c r="X109" s="257">
        <f t="shared" si="6"/>
        <v>866250</v>
      </c>
    </row>
    <row r="110" spans="1:28" s="201" customFormat="1" ht="18.75" customHeight="1" x14ac:dyDescent="0.2">
      <c r="A110" s="1122"/>
      <c r="B110" s="1071"/>
      <c r="C110" s="1071"/>
      <c r="D110" s="179" t="s">
        <v>9</v>
      </c>
      <c r="E110" s="200"/>
      <c r="F110" s="200"/>
      <c r="G110" s="200"/>
      <c r="H110" s="311"/>
      <c r="I110" s="185"/>
      <c r="J110" s="186">
        <f t="shared" si="8"/>
        <v>0</v>
      </c>
      <c r="K110" s="320"/>
      <c r="L110" s="200"/>
      <c r="M110" s="200"/>
      <c r="N110" s="200"/>
      <c r="O110" s="200"/>
      <c r="P110" s="200"/>
      <c r="Q110" s="313">
        <f t="shared" si="9"/>
        <v>0</v>
      </c>
      <c r="R110" s="303" t="s">
        <v>198</v>
      </c>
      <c r="S110" s="311">
        <v>1</v>
      </c>
      <c r="T110" s="200">
        <v>75000</v>
      </c>
      <c r="U110" s="321">
        <v>1.05</v>
      </c>
      <c r="V110" s="200">
        <f t="shared" si="7"/>
        <v>78750</v>
      </c>
      <c r="W110" s="313">
        <f t="shared" si="10"/>
        <v>866250</v>
      </c>
      <c r="X110" s="257">
        <f t="shared" si="6"/>
        <v>866250</v>
      </c>
    </row>
    <row r="111" spans="1:28" s="201" customFormat="1" ht="18.75" customHeight="1" x14ac:dyDescent="0.2">
      <c r="A111" s="1122"/>
      <c r="B111" s="1071"/>
      <c r="C111" s="1071"/>
      <c r="D111" s="179" t="s">
        <v>8</v>
      </c>
      <c r="E111" s="200"/>
      <c r="F111" s="200"/>
      <c r="G111" s="200"/>
      <c r="H111" s="311"/>
      <c r="I111" s="185"/>
      <c r="J111" s="186">
        <f t="shared" si="8"/>
        <v>0</v>
      </c>
      <c r="K111" s="320"/>
      <c r="L111" s="200"/>
      <c r="M111" s="200"/>
      <c r="N111" s="200"/>
      <c r="O111" s="200"/>
      <c r="P111" s="200"/>
      <c r="Q111" s="313">
        <f t="shared" si="9"/>
        <v>0</v>
      </c>
      <c r="R111" s="303">
        <v>0</v>
      </c>
      <c r="S111" s="311">
        <v>1</v>
      </c>
      <c r="T111" s="200">
        <v>60000</v>
      </c>
      <c r="U111" s="321">
        <v>1.05</v>
      </c>
      <c r="V111" s="200">
        <f t="shared" si="7"/>
        <v>63000</v>
      </c>
      <c r="W111" s="313">
        <f t="shared" si="10"/>
        <v>693000</v>
      </c>
      <c r="X111" s="257">
        <f t="shared" si="6"/>
        <v>693000</v>
      </c>
    </row>
    <row r="112" spans="1:28" s="201" customFormat="1" ht="18.75" customHeight="1" x14ac:dyDescent="0.2">
      <c r="A112" s="1122">
        <v>3</v>
      </c>
      <c r="B112" s="1071" t="s">
        <v>7</v>
      </c>
      <c r="C112" s="1071" t="s">
        <v>6</v>
      </c>
      <c r="D112" s="179" t="s">
        <v>5</v>
      </c>
      <c r="E112" s="200"/>
      <c r="F112" s="200"/>
      <c r="G112" s="200"/>
      <c r="H112" s="311"/>
      <c r="I112" s="185"/>
      <c r="J112" s="186">
        <f t="shared" si="8"/>
        <v>0</v>
      </c>
      <c r="K112" s="320"/>
      <c r="L112" s="200"/>
      <c r="M112" s="200"/>
      <c r="N112" s="200"/>
      <c r="O112" s="200"/>
      <c r="P112" s="200"/>
      <c r="Q112" s="313">
        <f t="shared" si="9"/>
        <v>0</v>
      </c>
      <c r="R112" s="303" t="s">
        <v>198</v>
      </c>
      <c r="S112" s="311">
        <v>1</v>
      </c>
      <c r="T112" s="200">
        <v>75000</v>
      </c>
      <c r="U112" s="321">
        <v>1.05</v>
      </c>
      <c r="V112" s="200">
        <f t="shared" si="7"/>
        <v>78750</v>
      </c>
      <c r="W112" s="313">
        <f t="shared" si="10"/>
        <v>866250</v>
      </c>
      <c r="X112" s="257">
        <f t="shared" si="6"/>
        <v>866250</v>
      </c>
    </row>
    <row r="113" spans="1:26" s="201" customFormat="1" ht="18.75" customHeight="1" x14ac:dyDescent="0.2">
      <c r="A113" s="1122"/>
      <c r="B113" s="1071"/>
      <c r="C113" s="1071"/>
      <c r="D113" s="179" t="s">
        <v>4</v>
      </c>
      <c r="E113" s="200"/>
      <c r="F113" s="200"/>
      <c r="G113" s="200"/>
      <c r="H113" s="311"/>
      <c r="I113" s="185"/>
      <c r="J113" s="186">
        <f t="shared" si="8"/>
        <v>0</v>
      </c>
      <c r="K113" s="320"/>
      <c r="L113" s="200"/>
      <c r="M113" s="200"/>
      <c r="N113" s="200"/>
      <c r="O113" s="200"/>
      <c r="P113" s="200"/>
      <c r="Q113" s="313">
        <f t="shared" si="9"/>
        <v>0</v>
      </c>
      <c r="R113" s="303" t="s">
        <v>198</v>
      </c>
      <c r="S113" s="311">
        <v>0.5</v>
      </c>
      <c r="T113" s="322">
        <v>75000</v>
      </c>
      <c r="U113" s="321">
        <v>1.05</v>
      </c>
      <c r="V113" s="200">
        <f>T113*U113*S113</f>
        <v>39375</v>
      </c>
      <c r="W113" s="313">
        <f t="shared" si="10"/>
        <v>433125</v>
      </c>
      <c r="X113" s="257">
        <f t="shared" si="6"/>
        <v>433125</v>
      </c>
    </row>
    <row r="114" spans="1:26" s="201" customFormat="1" ht="18.75" customHeight="1" x14ac:dyDescent="0.2">
      <c r="A114" s="1122"/>
      <c r="B114" s="1071"/>
      <c r="C114" s="1071"/>
      <c r="D114" s="179" t="s">
        <v>3</v>
      </c>
      <c r="E114" s="200"/>
      <c r="F114" s="200"/>
      <c r="G114" s="200"/>
      <c r="H114" s="311"/>
      <c r="I114" s="185"/>
      <c r="J114" s="186">
        <f t="shared" si="8"/>
        <v>0</v>
      </c>
      <c r="K114" s="320"/>
      <c r="L114" s="200"/>
      <c r="M114" s="200"/>
      <c r="N114" s="200"/>
      <c r="O114" s="200"/>
      <c r="P114" s="200"/>
      <c r="Q114" s="313">
        <f t="shared" si="9"/>
        <v>0</v>
      </c>
      <c r="R114" s="303">
        <v>0</v>
      </c>
      <c r="S114" s="311">
        <v>1</v>
      </c>
      <c r="T114" s="200">
        <v>60000</v>
      </c>
      <c r="U114" s="321">
        <v>1.05</v>
      </c>
      <c r="V114" s="200">
        <f t="shared" si="7"/>
        <v>63000</v>
      </c>
      <c r="W114" s="313">
        <f t="shared" si="10"/>
        <v>693000</v>
      </c>
      <c r="X114" s="257">
        <f t="shared" si="6"/>
        <v>693000</v>
      </c>
    </row>
    <row r="115" spans="1:26" s="201" customFormat="1" ht="18.75" customHeight="1" x14ac:dyDescent="0.2">
      <c r="A115" s="1122"/>
      <c r="B115" s="1071"/>
      <c r="C115" s="1071"/>
      <c r="D115" s="179" t="s">
        <v>2</v>
      </c>
      <c r="E115" s="200"/>
      <c r="F115" s="200"/>
      <c r="G115" s="200"/>
      <c r="H115" s="311"/>
      <c r="I115" s="185"/>
      <c r="J115" s="186">
        <f t="shared" si="8"/>
        <v>0</v>
      </c>
      <c r="K115" s="320"/>
      <c r="L115" s="200"/>
      <c r="M115" s="200"/>
      <c r="N115" s="200"/>
      <c r="O115" s="200"/>
      <c r="P115" s="200"/>
      <c r="Q115" s="313">
        <f t="shared" si="9"/>
        <v>0</v>
      </c>
      <c r="R115" s="303" t="s">
        <v>198</v>
      </c>
      <c r="S115" s="311">
        <v>1</v>
      </c>
      <c r="T115" s="200">
        <v>75000</v>
      </c>
      <c r="U115" s="321">
        <v>1.05</v>
      </c>
      <c r="V115" s="200">
        <f t="shared" si="7"/>
        <v>78750</v>
      </c>
      <c r="W115" s="313">
        <f t="shared" si="10"/>
        <v>866250</v>
      </c>
      <c r="X115" s="257">
        <f t="shared" si="6"/>
        <v>866250</v>
      </c>
    </row>
    <row r="116" spans="1:26" s="201" customFormat="1" ht="18.75" customHeight="1" x14ac:dyDescent="0.2">
      <c r="A116" s="240"/>
      <c r="B116" s="247" t="s">
        <v>1</v>
      </c>
      <c r="C116" s="241"/>
      <c r="D116" s="241"/>
      <c r="E116" s="249"/>
      <c r="F116" s="249">
        <f>SUM(F107:F115)</f>
        <v>0</v>
      </c>
      <c r="G116" s="249"/>
      <c r="H116" s="249"/>
      <c r="I116" s="243"/>
      <c r="J116" s="245">
        <f>SUM(J107:J115)</f>
        <v>0</v>
      </c>
      <c r="K116" s="250"/>
      <c r="L116" s="249"/>
      <c r="M116" s="249"/>
      <c r="N116" s="249"/>
      <c r="O116" s="249"/>
      <c r="P116" s="249"/>
      <c r="Q116" s="245">
        <f>SUM(Q107:Q115)</f>
        <v>0</v>
      </c>
      <c r="R116" s="250"/>
      <c r="S116" s="249">
        <f>SUM(S107:S115)</f>
        <v>8.5</v>
      </c>
      <c r="T116" s="249"/>
      <c r="U116" s="249"/>
      <c r="V116" s="249"/>
      <c r="W116" s="251">
        <f>SUM(W107:W115)</f>
        <v>6958875</v>
      </c>
      <c r="X116" s="258">
        <f t="shared" si="6"/>
        <v>6958875</v>
      </c>
      <c r="Y116" s="175"/>
      <c r="Z116" s="237"/>
    </row>
    <row r="117" spans="1:26" s="201" customFormat="1" ht="18.75" customHeight="1" thickBot="1" x14ac:dyDescent="0.25">
      <c r="A117" s="296"/>
      <c r="B117" s="297" t="s">
        <v>0</v>
      </c>
      <c r="C117" s="297"/>
      <c r="D117" s="297"/>
      <c r="E117" s="298"/>
      <c r="F117" s="298">
        <f>F39+F105+F116</f>
        <v>53</v>
      </c>
      <c r="G117" s="298"/>
      <c r="H117" s="298"/>
      <c r="I117" s="299"/>
      <c r="J117" s="300">
        <f>J39+J105+J116</f>
        <v>39154500</v>
      </c>
      <c r="K117" s="301"/>
      <c r="L117" s="298">
        <f>L39+L105+L116</f>
        <v>42</v>
      </c>
      <c r="M117" s="298"/>
      <c r="N117" s="298"/>
      <c r="O117" s="298"/>
      <c r="P117" s="298"/>
      <c r="Q117" s="300">
        <f>Q39+Q105+Q116</f>
        <v>36965775</v>
      </c>
      <c r="R117" s="301"/>
      <c r="S117" s="298">
        <f>S39+S105+S116</f>
        <v>8.5</v>
      </c>
      <c r="T117" s="298"/>
      <c r="U117" s="298"/>
      <c r="V117" s="298"/>
      <c r="W117" s="300">
        <f>W39+W105+W116</f>
        <v>6958875</v>
      </c>
      <c r="X117" s="302">
        <f>J117+Q117+W117</f>
        <v>83079150</v>
      </c>
      <c r="Y117" s="175"/>
      <c r="Z117" s="237"/>
    </row>
    <row r="118" spans="1:26" s="201" customFormat="1" x14ac:dyDescent="0.2">
      <c r="A118" s="231"/>
      <c r="B118" s="231"/>
      <c r="C118" s="231"/>
      <c r="D118" s="231"/>
      <c r="E118" s="232"/>
      <c r="F118" s="232"/>
      <c r="G118" s="232"/>
      <c r="H118" s="232"/>
      <c r="I118" s="233"/>
      <c r="J118" s="232"/>
      <c r="K118" s="232"/>
      <c r="L118" s="232"/>
      <c r="M118" s="232"/>
      <c r="N118" s="232"/>
      <c r="O118" s="232"/>
      <c r="P118" s="232"/>
      <c r="Q118" s="232"/>
      <c r="R118" s="232"/>
      <c r="S118" s="232"/>
      <c r="T118" s="232"/>
      <c r="U118" s="232"/>
      <c r="V118" s="232"/>
      <c r="W118" s="232"/>
      <c r="X118" s="234"/>
      <c r="Y118" s="175"/>
      <c r="Z118" s="237"/>
    </row>
    <row r="119" spans="1:26" s="201" customFormat="1" x14ac:dyDescent="0.2">
      <c r="A119" s="231"/>
      <c r="B119" s="231"/>
      <c r="C119" s="231"/>
      <c r="D119" s="231"/>
      <c r="E119" s="232"/>
      <c r="F119" s="232"/>
      <c r="G119" s="232"/>
      <c r="H119" s="232"/>
      <c r="I119" s="233"/>
      <c r="J119" s="232"/>
      <c r="K119" s="232"/>
      <c r="L119" s="232"/>
      <c r="M119" s="232"/>
      <c r="N119" s="232"/>
      <c r="O119" s="232"/>
      <c r="P119" s="232"/>
      <c r="Q119" s="232"/>
      <c r="R119" s="232"/>
      <c r="S119" s="232"/>
      <c r="T119" s="232"/>
      <c r="U119" s="232"/>
      <c r="V119" s="232"/>
      <c r="W119" s="232"/>
      <c r="X119" s="234"/>
      <c r="Y119" s="175"/>
      <c r="Z119" s="237"/>
    </row>
    <row r="120" spans="1:26" s="201" customFormat="1" x14ac:dyDescent="0.2">
      <c r="A120" s="231"/>
      <c r="B120" s="231"/>
      <c r="C120" s="231"/>
      <c r="D120" s="231"/>
      <c r="E120" s="232"/>
      <c r="F120" s="232"/>
      <c r="G120" s="232"/>
      <c r="H120" s="232"/>
      <c r="I120" s="233"/>
      <c r="J120" s="232"/>
      <c r="K120" s="232"/>
      <c r="L120" s="232"/>
      <c r="M120" s="232"/>
      <c r="N120" s="232"/>
      <c r="O120" s="232"/>
      <c r="P120" s="232"/>
      <c r="Q120" s="232"/>
      <c r="R120" s="232"/>
      <c r="S120" s="232"/>
      <c r="T120" s="232"/>
      <c r="U120" s="232"/>
      <c r="V120" s="232"/>
      <c r="W120" s="232"/>
      <c r="X120" s="234"/>
      <c r="Y120" s="175"/>
      <c r="Z120" s="237"/>
    </row>
    <row r="121" spans="1:26" x14ac:dyDescent="0.25">
      <c r="J121" s="202"/>
      <c r="Q121" s="202"/>
      <c r="W121" s="202"/>
      <c r="X121" s="202"/>
    </row>
    <row r="122" spans="1:26" x14ac:dyDescent="0.25">
      <c r="K122" s="175"/>
      <c r="X122" s="188"/>
    </row>
    <row r="123" spans="1:26" ht="16.5" thickBot="1" x14ac:dyDescent="0.3">
      <c r="A123" s="215"/>
      <c r="B123" s="238" t="s">
        <v>209</v>
      </c>
      <c r="C123" s="216"/>
      <c r="D123" s="216"/>
      <c r="E123" s="222"/>
      <c r="F123" s="217"/>
      <c r="G123" s="218"/>
      <c r="H123" s="217"/>
      <c r="I123" s="218"/>
      <c r="J123" s="218"/>
      <c r="K123" s="221"/>
      <c r="L123" s="215"/>
      <c r="M123" s="215"/>
      <c r="N123" s="215"/>
      <c r="O123" s="215"/>
      <c r="P123" s="219"/>
      <c r="Q123" s="220"/>
      <c r="R123" s="221"/>
      <c r="S123" s="221"/>
      <c r="T123" s="221"/>
      <c r="U123" s="221"/>
      <c r="V123" s="221"/>
      <c r="W123" s="221"/>
      <c r="X123" s="239"/>
    </row>
    <row r="124" spans="1:26" x14ac:dyDescent="0.25">
      <c r="A124" s="1234">
        <v>1</v>
      </c>
      <c r="B124" s="1232" t="s">
        <v>201</v>
      </c>
      <c r="C124" s="260"/>
      <c r="D124" s="289" t="s">
        <v>202</v>
      </c>
      <c r="E124" s="292"/>
      <c r="F124" s="261"/>
      <c r="G124" s="262"/>
      <c r="H124" s="263"/>
      <c r="I124" s="264">
        <f>F124*G124*H124</f>
        <v>0</v>
      </c>
      <c r="J124" s="285">
        <f>I124*11</f>
        <v>0</v>
      </c>
      <c r="K124" s="284">
        <v>628</v>
      </c>
      <c r="L124" s="265">
        <v>1</v>
      </c>
      <c r="M124" s="261">
        <v>80000</v>
      </c>
      <c r="N124" s="265">
        <v>1.05</v>
      </c>
      <c r="O124" s="265">
        <v>1.1000000000000001</v>
      </c>
      <c r="P124" s="262">
        <f>L124*M124*N124*O124</f>
        <v>92400.000000000015</v>
      </c>
      <c r="Q124" s="285">
        <f>P124*11</f>
        <v>1016400.0000000001</v>
      </c>
      <c r="R124" s="281"/>
      <c r="S124" s="266"/>
      <c r="T124" s="266"/>
      <c r="U124" s="266"/>
      <c r="V124" s="266"/>
      <c r="W124" s="275"/>
      <c r="X124" s="279">
        <f t="shared" ref="X124:X128" si="11">J124+Q124+W124</f>
        <v>1016400.0000000001</v>
      </c>
    </row>
    <row r="125" spans="1:26" x14ac:dyDescent="0.25">
      <c r="A125" s="1235"/>
      <c r="B125" s="1233"/>
      <c r="C125" s="225"/>
      <c r="D125" s="290" t="s">
        <v>203</v>
      </c>
      <c r="E125" s="293" t="s">
        <v>185</v>
      </c>
      <c r="F125" s="223">
        <v>1</v>
      </c>
      <c r="G125" s="224">
        <v>65000</v>
      </c>
      <c r="H125" s="226">
        <v>1.05</v>
      </c>
      <c r="I125" s="224">
        <f>F125*G125*H125</f>
        <v>68250</v>
      </c>
      <c r="J125" s="287">
        <f>I125*11</f>
        <v>750750</v>
      </c>
      <c r="K125" s="286"/>
      <c r="L125" s="229"/>
      <c r="M125" s="223"/>
      <c r="N125" s="229"/>
      <c r="O125" s="229"/>
      <c r="P125" s="224"/>
      <c r="Q125" s="287"/>
      <c r="R125" s="282"/>
      <c r="S125" s="230"/>
      <c r="T125" s="230"/>
      <c r="U125" s="230"/>
      <c r="V125" s="230"/>
      <c r="W125" s="276"/>
      <c r="X125" s="258">
        <f t="shared" si="11"/>
        <v>750750</v>
      </c>
    </row>
    <row r="126" spans="1:26" x14ac:dyDescent="0.25">
      <c r="A126" s="1235"/>
      <c r="B126" s="1233"/>
      <c r="C126" s="225"/>
      <c r="D126" s="290" t="s">
        <v>204</v>
      </c>
      <c r="E126" s="293" t="s">
        <v>185</v>
      </c>
      <c r="F126" s="223">
        <v>1</v>
      </c>
      <c r="G126" s="224">
        <v>65000</v>
      </c>
      <c r="H126" s="226">
        <v>1.05</v>
      </c>
      <c r="I126" s="224">
        <f t="shared" ref="I126:I127" si="12">F126*G126*H126</f>
        <v>68250</v>
      </c>
      <c r="J126" s="287">
        <f t="shared" ref="J126:J128" si="13">I126*11</f>
        <v>750750</v>
      </c>
      <c r="K126" s="286"/>
      <c r="L126" s="229"/>
      <c r="M126" s="223"/>
      <c r="N126" s="229"/>
      <c r="O126" s="229"/>
      <c r="P126" s="224"/>
      <c r="Q126" s="287"/>
      <c r="R126" s="282"/>
      <c r="S126" s="230"/>
      <c r="T126" s="230"/>
      <c r="U126" s="230"/>
      <c r="V126" s="230"/>
      <c r="W126" s="276"/>
      <c r="X126" s="258">
        <f t="shared" si="11"/>
        <v>750750</v>
      </c>
    </row>
    <row r="127" spans="1:26" x14ac:dyDescent="0.25">
      <c r="A127" s="1235"/>
      <c r="B127" s="1233"/>
      <c r="C127" s="225"/>
      <c r="D127" s="290" t="s">
        <v>205</v>
      </c>
      <c r="E127" s="293"/>
      <c r="F127" s="223"/>
      <c r="G127" s="224"/>
      <c r="H127" s="226"/>
      <c r="I127" s="228">
        <f t="shared" si="12"/>
        <v>0</v>
      </c>
      <c r="J127" s="287">
        <f t="shared" si="13"/>
        <v>0</v>
      </c>
      <c r="K127" s="286"/>
      <c r="L127" s="229"/>
      <c r="M127" s="223"/>
      <c r="N127" s="229"/>
      <c r="O127" s="229"/>
      <c r="P127" s="224"/>
      <c r="Q127" s="287"/>
      <c r="R127" s="282">
        <v>730</v>
      </c>
      <c r="S127" s="229">
        <v>1</v>
      </c>
      <c r="T127" s="223">
        <v>60000</v>
      </c>
      <c r="U127" s="229">
        <v>1.05</v>
      </c>
      <c r="V127" s="223">
        <f>S127*T127*U127</f>
        <v>63000</v>
      </c>
      <c r="W127" s="277">
        <f>V127*11</f>
        <v>693000</v>
      </c>
      <c r="X127" s="258">
        <f t="shared" si="11"/>
        <v>693000</v>
      </c>
    </row>
    <row r="128" spans="1:26" x14ac:dyDescent="0.25">
      <c r="A128" s="325">
        <v>2</v>
      </c>
      <c r="B128" s="324" t="s">
        <v>207</v>
      </c>
      <c r="C128" s="225"/>
      <c r="D128" s="290" t="s">
        <v>208</v>
      </c>
      <c r="E128" s="294"/>
      <c r="F128" s="226"/>
      <c r="G128" s="227"/>
      <c r="H128" s="226"/>
      <c r="I128" s="228"/>
      <c r="J128" s="287">
        <f t="shared" si="13"/>
        <v>0</v>
      </c>
      <c r="K128" s="286">
        <v>1289</v>
      </c>
      <c r="L128" s="229">
        <v>1</v>
      </c>
      <c r="M128" s="223">
        <v>85000</v>
      </c>
      <c r="N128" s="229">
        <v>1.05</v>
      </c>
      <c r="O128" s="229">
        <v>1.1000000000000001</v>
      </c>
      <c r="P128" s="224">
        <f>L128*M128*N128*O128</f>
        <v>98175.000000000015</v>
      </c>
      <c r="Q128" s="287">
        <f>P128*11</f>
        <v>1079925.0000000002</v>
      </c>
      <c r="R128" s="282"/>
      <c r="S128" s="230"/>
      <c r="T128" s="230"/>
      <c r="U128" s="230"/>
      <c r="V128" s="230"/>
      <c r="W128" s="276"/>
      <c r="X128" s="258">
        <f t="shared" si="11"/>
        <v>1079925.0000000002</v>
      </c>
    </row>
    <row r="129" spans="1:24" s="203" customFormat="1" ht="16.5" thickBot="1" x14ac:dyDescent="0.3">
      <c r="A129" s="267"/>
      <c r="B129" s="268" t="s">
        <v>1</v>
      </c>
      <c r="C129" s="268"/>
      <c r="D129" s="291"/>
      <c r="E129" s="295"/>
      <c r="F129" s="269">
        <f>SUM(F124:F128)</f>
        <v>2</v>
      </c>
      <c r="G129" s="270"/>
      <c r="H129" s="270"/>
      <c r="I129" s="270"/>
      <c r="J129" s="274">
        <f>SUM(J124:J128)</f>
        <v>1501500</v>
      </c>
      <c r="K129" s="288"/>
      <c r="L129" s="269">
        <f>SUM(L124:L128)</f>
        <v>2</v>
      </c>
      <c r="M129" s="271"/>
      <c r="N129" s="271"/>
      <c r="O129" s="271"/>
      <c r="P129" s="272"/>
      <c r="Q129" s="274">
        <f>SUM(Q124:Q128)</f>
        <v>2096325.0000000005</v>
      </c>
      <c r="R129" s="283"/>
      <c r="S129" s="269">
        <f>SUM(S124:S128)</f>
        <v>1</v>
      </c>
      <c r="T129" s="273"/>
      <c r="U129" s="273"/>
      <c r="V129" s="273"/>
      <c r="W129" s="278">
        <f>SUM(W124:W128)</f>
        <v>693000</v>
      </c>
      <c r="X129" s="280">
        <f>SUM(X124:X128)</f>
        <v>4290825</v>
      </c>
    </row>
    <row r="130" spans="1:24" x14ac:dyDescent="0.25">
      <c r="K130" s="252"/>
    </row>
    <row r="132" spans="1:24" x14ac:dyDescent="0.25">
      <c r="D132" s="329" t="s">
        <v>220</v>
      </c>
      <c r="E132" s="326">
        <v>2015</v>
      </c>
      <c r="G132" s="165">
        <v>2016</v>
      </c>
    </row>
    <row r="133" spans="1:24" x14ac:dyDescent="0.25">
      <c r="D133" s="329" t="s">
        <v>221</v>
      </c>
      <c r="E133" s="326"/>
    </row>
    <row r="134" spans="1:24" x14ac:dyDescent="0.25">
      <c r="D134" s="162" t="s">
        <v>215</v>
      </c>
      <c r="E134" s="327">
        <v>60000</v>
      </c>
      <c r="F134" s="328">
        <v>1.05</v>
      </c>
      <c r="G134" s="327">
        <f>E134*F134</f>
        <v>63000</v>
      </c>
    </row>
    <row r="135" spans="1:24" x14ac:dyDescent="0.25">
      <c r="D135" s="162" t="s">
        <v>216</v>
      </c>
      <c r="E135" s="327">
        <v>70000</v>
      </c>
      <c r="F135" s="328">
        <v>1.05</v>
      </c>
      <c r="G135" s="327">
        <f t="shared" ref="G135:G141" si="14">E135*F135</f>
        <v>73500</v>
      </c>
    </row>
    <row r="136" spans="1:24" x14ac:dyDescent="0.25">
      <c r="D136" s="162" t="s">
        <v>217</v>
      </c>
      <c r="E136" s="327">
        <v>75000</v>
      </c>
      <c r="F136" s="328">
        <v>1.05</v>
      </c>
      <c r="G136" s="327">
        <f t="shared" si="14"/>
        <v>78750</v>
      </c>
    </row>
    <row r="137" spans="1:24" x14ac:dyDescent="0.25">
      <c r="D137" s="162" t="s">
        <v>218</v>
      </c>
      <c r="E137" s="327">
        <v>80000</v>
      </c>
      <c r="F137" s="328">
        <v>1.05</v>
      </c>
      <c r="G137" s="327">
        <f t="shared" si="14"/>
        <v>84000</v>
      </c>
    </row>
    <row r="138" spans="1:24" x14ac:dyDescent="0.25">
      <c r="D138" s="162" t="s">
        <v>219</v>
      </c>
      <c r="E138" s="327">
        <v>85000</v>
      </c>
      <c r="F138" s="328">
        <v>1.05</v>
      </c>
      <c r="G138" s="327">
        <f t="shared" si="14"/>
        <v>89250</v>
      </c>
    </row>
    <row r="139" spans="1:24" x14ac:dyDescent="0.25">
      <c r="D139" s="329" t="s">
        <v>222</v>
      </c>
    </row>
    <row r="140" spans="1:24" x14ac:dyDescent="0.25">
      <c r="D140" s="162" t="s">
        <v>186</v>
      </c>
      <c r="E140" s="327">
        <v>60000</v>
      </c>
      <c r="F140" s="328">
        <v>1.05</v>
      </c>
      <c r="G140" s="327">
        <f t="shared" si="14"/>
        <v>63000</v>
      </c>
    </row>
    <row r="141" spans="1:24" x14ac:dyDescent="0.25">
      <c r="D141" s="162" t="s">
        <v>185</v>
      </c>
      <c r="E141" s="327">
        <v>65000</v>
      </c>
      <c r="F141" s="328">
        <v>1.05</v>
      </c>
      <c r="G141" s="327">
        <f t="shared" si="14"/>
        <v>68250</v>
      </c>
    </row>
  </sheetData>
  <autoFilter ref="A4:W122" xr:uid="{00000000-0009-0000-0000-000006000000}"/>
  <mergeCells count="119">
    <mergeCell ref="B124:B127"/>
    <mergeCell ref="F3:F4"/>
    <mergeCell ref="A124:A127"/>
    <mergeCell ref="T3:T4"/>
    <mergeCell ref="R3:R4"/>
    <mergeCell ref="S3:S4"/>
    <mergeCell ref="U3:U4"/>
    <mergeCell ref="R2:W2"/>
    <mergeCell ref="A103:A104"/>
    <mergeCell ref="B103:B104"/>
    <mergeCell ref="A90:A91"/>
    <mergeCell ref="B90:B91"/>
    <mergeCell ref="C90:C91"/>
    <mergeCell ref="A92:A93"/>
    <mergeCell ref="B92:B93"/>
    <mergeCell ref="C92:C93"/>
    <mergeCell ref="A79:A81"/>
    <mergeCell ref="B79:B81"/>
    <mergeCell ref="A82:A84"/>
    <mergeCell ref="B82:B84"/>
    <mergeCell ref="C82:C84"/>
    <mergeCell ref="A87:A89"/>
    <mergeCell ref="B87:B89"/>
    <mergeCell ref="C87:C89"/>
    <mergeCell ref="A73:A75"/>
    <mergeCell ref="B73:B75"/>
    <mergeCell ref="C73:C75"/>
    <mergeCell ref="A77:A78"/>
    <mergeCell ref="A106:F106"/>
    <mergeCell ref="A108:A111"/>
    <mergeCell ref="B108:B111"/>
    <mergeCell ref="C108:C111"/>
    <mergeCell ref="A112:A115"/>
    <mergeCell ref="B112:B115"/>
    <mergeCell ref="C112:C115"/>
    <mergeCell ref="A95:A97"/>
    <mergeCell ref="B95:B97"/>
    <mergeCell ref="C95:C97"/>
    <mergeCell ref="A98:A102"/>
    <mergeCell ref="B98:B102"/>
    <mergeCell ref="C98:C102"/>
    <mergeCell ref="B77:B78"/>
    <mergeCell ref="C77:C78"/>
    <mergeCell ref="A66:A69"/>
    <mergeCell ref="B66:B69"/>
    <mergeCell ref="C66:C69"/>
    <mergeCell ref="A70:A72"/>
    <mergeCell ref="B70:B72"/>
    <mergeCell ref="C70:C72"/>
    <mergeCell ref="A59:A60"/>
    <mergeCell ref="B59:B60"/>
    <mergeCell ref="C59:C60"/>
    <mergeCell ref="A61:A65"/>
    <mergeCell ref="B61:B65"/>
    <mergeCell ref="C61:C65"/>
    <mergeCell ref="A55:A56"/>
    <mergeCell ref="B55:B56"/>
    <mergeCell ref="C55:C56"/>
    <mergeCell ref="A57:A58"/>
    <mergeCell ref="B57:B58"/>
    <mergeCell ref="C57:C58"/>
    <mergeCell ref="A48:A50"/>
    <mergeCell ref="B48:B50"/>
    <mergeCell ref="C48:C50"/>
    <mergeCell ref="A51:A52"/>
    <mergeCell ref="B51:B52"/>
    <mergeCell ref="C51:C52"/>
    <mergeCell ref="A32:A33"/>
    <mergeCell ref="B32:B33"/>
    <mergeCell ref="C32:C33"/>
    <mergeCell ref="A46:A47"/>
    <mergeCell ref="B46:B47"/>
    <mergeCell ref="C46:C47"/>
    <mergeCell ref="A24:A28"/>
    <mergeCell ref="B24:B28"/>
    <mergeCell ref="C24:C28"/>
    <mergeCell ref="A29:A30"/>
    <mergeCell ref="B29:B30"/>
    <mergeCell ref="C29:C30"/>
    <mergeCell ref="A5:F5"/>
    <mergeCell ref="A6:A7"/>
    <mergeCell ref="B6:B7"/>
    <mergeCell ref="C6:C7"/>
    <mergeCell ref="A18:A20"/>
    <mergeCell ref="B18:B20"/>
    <mergeCell ref="C18:C20"/>
    <mergeCell ref="A22:A23"/>
    <mergeCell ref="B22:B23"/>
    <mergeCell ref="C22:C23"/>
    <mergeCell ref="A13:A14"/>
    <mergeCell ref="B13:B14"/>
    <mergeCell ref="C13:C14"/>
    <mergeCell ref="A15:A17"/>
    <mergeCell ref="B15:B17"/>
    <mergeCell ref="C15:C17"/>
    <mergeCell ref="V3:W3"/>
    <mergeCell ref="X2:X4"/>
    <mergeCell ref="L3:L4"/>
    <mergeCell ref="G3:G4"/>
    <mergeCell ref="M3:M4"/>
    <mergeCell ref="A8:A10"/>
    <mergeCell ref="B8:B10"/>
    <mergeCell ref="C8:C9"/>
    <mergeCell ref="A11:A12"/>
    <mergeCell ref="K2:Q2"/>
    <mergeCell ref="K3:K4"/>
    <mergeCell ref="N3:N4"/>
    <mergeCell ref="O3:O4"/>
    <mergeCell ref="A2:A4"/>
    <mergeCell ref="B2:B4"/>
    <mergeCell ref="C2:C4"/>
    <mergeCell ref="D2:D4"/>
    <mergeCell ref="E2:J2"/>
    <mergeCell ref="E3:E4"/>
    <mergeCell ref="H3:H4"/>
    <mergeCell ref="I3:J3"/>
    <mergeCell ref="P3:Q3"/>
    <mergeCell ref="B11:B12"/>
    <mergeCell ref="C11:C12"/>
  </mergeCells>
  <pageMargins left="0.15748031496062992" right="0" top="0.19685039370078741" bottom="0.19685039370078741" header="0.51181102362204722" footer="0.51181102362204722"/>
  <pageSetup paperSize="9" scale="42" fitToWidth="2" fitToHeight="2" orientation="landscape" r:id="rId1"/>
  <headerFooter alignWithMargins="0"/>
  <rowBreaks count="2" manualBreakCount="2">
    <brk id="39" max="36" man="1"/>
    <brk id="105" max="36" man="1"/>
  </row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43"/>
  </sheetPr>
  <dimension ref="A1:AK116"/>
  <sheetViews>
    <sheetView zoomScale="80" zoomScaleNormal="80" workbookViewId="0">
      <pane xSplit="4" ySplit="5" topLeftCell="V21" activePane="bottomRight" state="frozen"/>
      <selection pane="topRight" activeCell="E1" sqref="E1"/>
      <selection pane="bottomLeft" activeCell="A6" sqref="A6"/>
      <selection pane="bottomRight" activeCell="AF108" sqref="AF108:AF111"/>
    </sheetView>
  </sheetViews>
  <sheetFormatPr defaultColWidth="8.85546875" defaultRowHeight="15.75" x14ac:dyDescent="0.25"/>
  <cols>
    <col min="1" max="1" width="5.7109375" style="4" customWidth="1"/>
    <col min="2" max="2" width="23" style="8" customWidth="1"/>
    <col min="3" max="3" width="13.28515625" style="8" hidden="1" customWidth="1"/>
    <col min="4" max="4" width="25.42578125" style="8" customWidth="1"/>
    <col min="5" max="5" width="7.7109375" style="7" customWidth="1"/>
    <col min="6" max="7" width="9" style="6" customWidth="1"/>
    <col min="8" max="8" width="10.7109375" style="5" customWidth="1"/>
    <col min="9" max="9" width="11.5703125" style="6" customWidth="1"/>
    <col min="10" max="10" width="11.42578125" style="5" customWidth="1"/>
    <col min="11" max="11" width="13.42578125" style="5" customWidth="1"/>
    <col min="12" max="12" width="12" style="60" customWidth="1"/>
    <col min="13" max="13" width="13.42578125" style="70" customWidth="1"/>
    <col min="14" max="14" width="5.85546875" style="65" customWidth="1"/>
    <col min="15" max="15" width="13.7109375" style="4" customWidth="1"/>
    <col min="16" max="19" width="11.140625" style="4" customWidth="1"/>
    <col min="20" max="20" width="12.28515625" style="3" customWidth="1"/>
    <col min="21" max="21" width="12.28515625" style="53" customWidth="1"/>
    <col min="22" max="22" width="12.140625" style="104" customWidth="1"/>
    <col min="23" max="23" width="12.140625" style="105" customWidth="1"/>
    <col min="24" max="24" width="6.5703125" style="104" customWidth="1"/>
    <col min="25" max="25" width="8.85546875" style="1"/>
    <col min="26" max="26" width="8.85546875" style="1" customWidth="1"/>
    <col min="27" max="27" width="10.7109375" style="1" customWidth="1"/>
    <col min="28" max="28" width="12" style="1" customWidth="1"/>
    <col min="29" max="29" width="8.85546875" style="1"/>
    <col min="30" max="30" width="11.7109375" style="1" customWidth="1"/>
    <col min="31" max="31" width="11.7109375" style="131" customWidth="1"/>
    <col min="32" max="32" width="11.7109375" style="132" customWidth="1"/>
    <col min="33" max="33" width="11.7109375" style="131" customWidth="1"/>
    <col min="34" max="34" width="12.5703125" style="2" customWidth="1"/>
    <col min="35" max="35" width="11.28515625" style="1" customWidth="1"/>
    <col min="36" max="36" width="12.85546875" style="128" customWidth="1"/>
    <col min="37" max="37" width="10.7109375" style="1" customWidth="1"/>
    <col min="38" max="16384" width="8.85546875" style="1"/>
  </cols>
  <sheetData>
    <row r="1" spans="1:37" s="48" customFormat="1" ht="21.75" customHeight="1" thickBot="1" x14ac:dyDescent="0.35">
      <c r="A1" s="49" t="s">
        <v>169</v>
      </c>
      <c r="B1" s="49"/>
      <c r="C1" s="8"/>
      <c r="D1" s="8"/>
      <c r="E1" s="7"/>
      <c r="F1" s="6"/>
      <c r="G1" s="6"/>
      <c r="H1" s="5"/>
      <c r="I1" s="6"/>
      <c r="J1" s="5"/>
      <c r="K1" s="5"/>
      <c r="L1" s="60"/>
      <c r="M1" s="70"/>
      <c r="N1" s="65"/>
      <c r="O1" s="4"/>
      <c r="P1" s="4"/>
      <c r="Q1" s="4"/>
      <c r="R1" s="4"/>
      <c r="S1" s="4"/>
      <c r="T1" s="3"/>
      <c r="U1" s="53"/>
      <c r="V1" s="104"/>
      <c r="W1" s="105"/>
      <c r="X1" s="104"/>
      <c r="AE1" s="129"/>
      <c r="AF1" s="130"/>
      <c r="AG1" s="129"/>
      <c r="AH1" s="49"/>
      <c r="AJ1" s="127"/>
    </row>
    <row r="2" spans="1:37" s="47" customFormat="1" ht="44.45" customHeight="1" x14ac:dyDescent="0.2">
      <c r="A2" s="1289" t="s">
        <v>168</v>
      </c>
      <c r="B2" s="1253" t="s">
        <v>167</v>
      </c>
      <c r="C2" s="1253" t="s">
        <v>166</v>
      </c>
      <c r="D2" s="1256" t="s">
        <v>165</v>
      </c>
      <c r="E2" s="1263" t="s">
        <v>164</v>
      </c>
      <c r="F2" s="1264"/>
      <c r="G2" s="1264"/>
      <c r="H2" s="1264"/>
      <c r="I2" s="1264"/>
      <c r="J2" s="1264"/>
      <c r="K2" s="1264"/>
      <c r="L2" s="1264"/>
      <c r="M2" s="1264"/>
      <c r="N2" s="1264"/>
      <c r="O2" s="1283" t="s">
        <v>163</v>
      </c>
      <c r="P2" s="1284"/>
      <c r="Q2" s="1284"/>
      <c r="R2" s="1284"/>
      <c r="S2" s="1284"/>
      <c r="T2" s="1284"/>
      <c r="U2" s="1284"/>
      <c r="V2" s="1284"/>
      <c r="W2" s="1284"/>
      <c r="X2" s="1284"/>
      <c r="Y2" s="1285" t="s">
        <v>162</v>
      </c>
      <c r="Z2" s="1286"/>
      <c r="AA2" s="1286"/>
      <c r="AB2" s="1286"/>
      <c r="AC2" s="1286"/>
      <c r="AD2" s="1286"/>
      <c r="AE2" s="1286"/>
      <c r="AF2" s="1286"/>
      <c r="AG2" s="1287"/>
      <c r="AH2" s="1239" t="s">
        <v>173</v>
      </c>
      <c r="AI2" s="1240"/>
      <c r="AJ2" s="1240"/>
      <c r="AK2" s="1241"/>
    </row>
    <row r="3" spans="1:37" s="45" customFormat="1" ht="71.25" customHeight="1" x14ac:dyDescent="0.2">
      <c r="A3" s="1251"/>
      <c r="B3" s="1254"/>
      <c r="C3" s="1254"/>
      <c r="D3" s="1257"/>
      <c r="E3" s="1254" t="s">
        <v>156</v>
      </c>
      <c r="F3" s="1254" t="s">
        <v>161</v>
      </c>
      <c r="G3" s="1254"/>
      <c r="H3" s="51" t="s">
        <v>154</v>
      </c>
      <c r="I3" s="1248" t="s">
        <v>158</v>
      </c>
      <c r="J3" s="1265" t="s">
        <v>152</v>
      </c>
      <c r="K3" s="1266"/>
      <c r="L3" s="1266"/>
      <c r="M3" s="1266"/>
      <c r="N3" s="1266"/>
      <c r="O3" s="1251" t="s">
        <v>156</v>
      </c>
      <c r="P3" s="46" t="s">
        <v>160</v>
      </c>
      <c r="Q3" s="51" t="s">
        <v>159</v>
      </c>
      <c r="R3" s="1248" t="s">
        <v>158</v>
      </c>
      <c r="S3" s="1248" t="s">
        <v>157</v>
      </c>
      <c r="T3" s="1281" t="s">
        <v>152</v>
      </c>
      <c r="U3" s="1282"/>
      <c r="V3" s="1282"/>
      <c r="W3" s="1282"/>
      <c r="X3" s="1282"/>
      <c r="Y3" s="1251" t="s">
        <v>156</v>
      </c>
      <c r="Z3" s="1254" t="s">
        <v>155</v>
      </c>
      <c r="AA3" s="51" t="s">
        <v>154</v>
      </c>
      <c r="AB3" s="1248" t="s">
        <v>153</v>
      </c>
      <c r="AC3" s="1265" t="s">
        <v>152</v>
      </c>
      <c r="AD3" s="1266"/>
      <c r="AE3" s="1266"/>
      <c r="AF3" s="1266"/>
      <c r="AG3" s="1288"/>
      <c r="AH3" s="1242"/>
      <c r="AI3" s="1029"/>
      <c r="AJ3" s="1029"/>
      <c r="AK3" s="1243"/>
    </row>
    <row r="4" spans="1:37" s="149" customFormat="1" ht="42.6" customHeight="1" thickBot="1" x14ac:dyDescent="0.25">
      <c r="A4" s="1252"/>
      <c r="B4" s="1255"/>
      <c r="C4" s="1255"/>
      <c r="D4" s="1258"/>
      <c r="E4" s="1255"/>
      <c r="F4" s="55" t="s">
        <v>151</v>
      </c>
      <c r="G4" s="55" t="s">
        <v>150</v>
      </c>
      <c r="H4" s="52" t="s">
        <v>148</v>
      </c>
      <c r="I4" s="1249"/>
      <c r="J4" s="143" t="s">
        <v>148</v>
      </c>
      <c r="K4" s="52" t="s">
        <v>147</v>
      </c>
      <c r="L4" s="144" t="s">
        <v>171</v>
      </c>
      <c r="M4" s="145" t="s">
        <v>170</v>
      </c>
      <c r="N4" s="146" t="s">
        <v>172</v>
      </c>
      <c r="O4" s="1252"/>
      <c r="P4" s="55" t="s">
        <v>149</v>
      </c>
      <c r="Q4" s="52" t="s">
        <v>148</v>
      </c>
      <c r="R4" s="1249"/>
      <c r="S4" s="1249"/>
      <c r="T4" s="143" t="s">
        <v>148</v>
      </c>
      <c r="U4" s="147" t="s">
        <v>147</v>
      </c>
      <c r="V4" s="144" t="s">
        <v>171</v>
      </c>
      <c r="W4" s="145" t="s">
        <v>170</v>
      </c>
      <c r="X4" s="146" t="s">
        <v>172</v>
      </c>
      <c r="Y4" s="1252"/>
      <c r="Z4" s="1255"/>
      <c r="AA4" s="52" t="s">
        <v>148</v>
      </c>
      <c r="AB4" s="1249"/>
      <c r="AC4" s="143" t="s">
        <v>148</v>
      </c>
      <c r="AD4" s="147" t="s">
        <v>147</v>
      </c>
      <c r="AE4" s="144" t="s">
        <v>171</v>
      </c>
      <c r="AF4" s="145" t="s">
        <v>170</v>
      </c>
      <c r="AG4" s="148" t="s">
        <v>172</v>
      </c>
      <c r="AH4" s="153" t="s">
        <v>147</v>
      </c>
      <c r="AI4" s="144" t="s">
        <v>171</v>
      </c>
      <c r="AJ4" s="145" t="s">
        <v>170</v>
      </c>
      <c r="AK4" s="148" t="s">
        <v>172</v>
      </c>
    </row>
    <row r="5" spans="1:37" x14ac:dyDescent="0.25">
      <c r="A5" s="1260" t="s">
        <v>146</v>
      </c>
      <c r="B5" s="1261"/>
      <c r="C5" s="1261"/>
      <c r="D5" s="1261"/>
      <c r="E5" s="1261"/>
      <c r="F5" s="1261"/>
      <c r="G5" s="1261"/>
      <c r="H5" s="57"/>
      <c r="I5" s="57"/>
      <c r="J5" s="44"/>
      <c r="K5" s="61"/>
      <c r="L5" s="66"/>
      <c r="O5" s="116"/>
      <c r="U5" s="3"/>
      <c r="V5" s="106"/>
      <c r="W5" s="107"/>
      <c r="X5" s="106"/>
      <c r="Y5" s="43"/>
      <c r="Z5" s="42"/>
      <c r="AA5" s="42"/>
      <c r="AB5" s="42"/>
      <c r="AC5" s="42"/>
      <c r="AD5" s="121"/>
      <c r="AG5" s="139"/>
      <c r="AH5" s="41"/>
      <c r="AK5" s="154"/>
    </row>
    <row r="6" spans="1:37" s="40" customFormat="1" ht="22.15" customHeight="1" x14ac:dyDescent="0.2">
      <c r="A6" s="1262">
        <v>1</v>
      </c>
      <c r="B6" s="1250" t="s">
        <v>145</v>
      </c>
      <c r="C6" s="1250" t="s">
        <v>6</v>
      </c>
      <c r="D6" s="13" t="s">
        <v>144</v>
      </c>
      <c r="E6" s="13">
        <v>217</v>
      </c>
      <c r="F6" s="13">
        <v>1</v>
      </c>
      <c r="G6" s="13"/>
      <c r="H6" s="30">
        <v>65000</v>
      </c>
      <c r="I6" s="13">
        <v>1.05</v>
      </c>
      <c r="J6" s="30">
        <f t="shared" ref="J6:J37" si="0">H6*I6</f>
        <v>68250</v>
      </c>
      <c r="K6" s="62">
        <f t="shared" ref="K6:K18" si="1">J6*F6*12</f>
        <v>819000</v>
      </c>
      <c r="L6" s="117">
        <f>J6</f>
        <v>68250</v>
      </c>
      <c r="M6" s="118">
        <f t="shared" ref="M6:M37" si="2">J6*11</f>
        <v>750750</v>
      </c>
      <c r="N6" s="117">
        <f>M6+L6-K6</f>
        <v>0</v>
      </c>
      <c r="O6" s="14"/>
      <c r="P6" s="13"/>
      <c r="Q6" s="13"/>
      <c r="R6" s="13"/>
      <c r="S6" s="13"/>
      <c r="T6" s="11"/>
      <c r="U6" s="64"/>
      <c r="V6" s="119"/>
      <c r="W6" s="120"/>
      <c r="X6" s="119"/>
      <c r="Y6" s="18"/>
      <c r="Z6" s="13"/>
      <c r="AA6" s="13"/>
      <c r="AB6" s="13"/>
      <c r="AC6" s="13"/>
      <c r="AD6" s="122"/>
      <c r="AE6" s="133"/>
      <c r="AF6" s="134"/>
      <c r="AG6" s="140"/>
      <c r="AH6" s="10">
        <f t="shared" ref="AH6:AH37" si="3">K6+U6+AD6</f>
        <v>819000</v>
      </c>
      <c r="AI6" s="155">
        <f>L6</f>
        <v>68250</v>
      </c>
      <c r="AJ6" s="156">
        <f>L6*11</f>
        <v>750750</v>
      </c>
      <c r="AK6" s="157">
        <f>AJ6+AI6-AH6</f>
        <v>0</v>
      </c>
    </row>
    <row r="7" spans="1:37" s="40" customFormat="1" ht="22.15" customHeight="1" x14ac:dyDescent="0.2">
      <c r="A7" s="1262"/>
      <c r="B7" s="1250"/>
      <c r="C7" s="1250"/>
      <c r="D7" s="13" t="s">
        <v>143</v>
      </c>
      <c r="E7" s="13">
        <v>218</v>
      </c>
      <c r="F7" s="13">
        <v>1</v>
      </c>
      <c r="G7" s="13"/>
      <c r="H7" s="30">
        <v>65000</v>
      </c>
      <c r="I7" s="13">
        <v>1.05</v>
      </c>
      <c r="J7" s="30">
        <f t="shared" si="0"/>
        <v>68250</v>
      </c>
      <c r="K7" s="62">
        <f t="shared" si="1"/>
        <v>819000</v>
      </c>
      <c r="L7" s="65">
        <f t="shared" ref="L7:L36" si="4">J7</f>
        <v>68250</v>
      </c>
      <c r="M7" s="70">
        <f t="shared" si="2"/>
        <v>750750</v>
      </c>
      <c r="N7" s="65">
        <f t="shared" ref="N7:N64" si="5">M7+L7-K7</f>
        <v>0</v>
      </c>
      <c r="O7" s="14"/>
      <c r="P7" s="13"/>
      <c r="Q7" s="13"/>
      <c r="R7" s="13"/>
      <c r="S7" s="13"/>
      <c r="T7" s="11"/>
      <c r="U7" s="64"/>
      <c r="V7" s="68"/>
      <c r="W7" s="71"/>
      <c r="X7" s="68"/>
      <c r="Y7" s="18"/>
      <c r="Z7" s="13"/>
      <c r="AA7" s="13"/>
      <c r="AB7" s="13"/>
      <c r="AC7" s="13"/>
      <c r="AD7" s="122"/>
      <c r="AE7" s="133"/>
      <c r="AF7" s="134"/>
      <c r="AG7" s="140"/>
      <c r="AH7" s="10">
        <f t="shared" si="3"/>
        <v>819000</v>
      </c>
      <c r="AI7" s="155">
        <f t="shared" ref="AI7:AI37" si="6">L7</f>
        <v>68250</v>
      </c>
      <c r="AJ7" s="156">
        <f t="shared" ref="AJ7:AJ37" si="7">L7*11</f>
        <v>750750</v>
      </c>
      <c r="AK7" s="157">
        <f t="shared" ref="AK7:AK64" si="8">AJ7+AI7-AH7</f>
        <v>0</v>
      </c>
    </row>
    <row r="8" spans="1:37" s="40" customFormat="1" ht="24.6" customHeight="1" x14ac:dyDescent="0.2">
      <c r="A8" s="1262">
        <v>2</v>
      </c>
      <c r="B8" s="1250" t="s">
        <v>142</v>
      </c>
      <c r="C8" s="1250" t="s">
        <v>6</v>
      </c>
      <c r="D8" s="13" t="s">
        <v>141</v>
      </c>
      <c r="E8" s="13">
        <v>316</v>
      </c>
      <c r="F8" s="13">
        <v>1</v>
      </c>
      <c r="G8" s="13"/>
      <c r="H8" s="30">
        <v>65000</v>
      </c>
      <c r="I8" s="13">
        <v>1.05</v>
      </c>
      <c r="J8" s="30">
        <f t="shared" si="0"/>
        <v>68250</v>
      </c>
      <c r="K8" s="62">
        <f t="shared" si="1"/>
        <v>819000</v>
      </c>
      <c r="L8" s="65">
        <f t="shared" si="4"/>
        <v>68250</v>
      </c>
      <c r="M8" s="70">
        <f t="shared" si="2"/>
        <v>750750</v>
      </c>
      <c r="N8" s="65">
        <f t="shared" si="5"/>
        <v>0</v>
      </c>
      <c r="O8" s="14"/>
      <c r="P8" s="13"/>
      <c r="Q8" s="13"/>
      <c r="R8" s="13"/>
      <c r="S8" s="13"/>
      <c r="T8" s="11"/>
      <c r="U8" s="64"/>
      <c r="V8" s="68"/>
      <c r="W8" s="71"/>
      <c r="X8" s="68"/>
      <c r="Y8" s="18"/>
      <c r="Z8" s="13"/>
      <c r="AA8" s="13"/>
      <c r="AB8" s="13"/>
      <c r="AC8" s="13"/>
      <c r="AD8" s="122"/>
      <c r="AE8" s="133"/>
      <c r="AF8" s="134"/>
      <c r="AG8" s="140"/>
      <c r="AH8" s="10">
        <f t="shared" si="3"/>
        <v>819000</v>
      </c>
      <c r="AI8" s="155">
        <f t="shared" si="6"/>
        <v>68250</v>
      </c>
      <c r="AJ8" s="156">
        <f t="shared" si="7"/>
        <v>750750</v>
      </c>
      <c r="AK8" s="157">
        <f t="shared" si="8"/>
        <v>0</v>
      </c>
    </row>
    <row r="9" spans="1:37" s="40" customFormat="1" ht="24.6" customHeight="1" x14ac:dyDescent="0.2">
      <c r="A9" s="1262"/>
      <c r="B9" s="1250"/>
      <c r="C9" s="1250"/>
      <c r="D9" s="13" t="s">
        <v>140</v>
      </c>
      <c r="E9" s="13">
        <v>169</v>
      </c>
      <c r="F9" s="13">
        <v>1</v>
      </c>
      <c r="G9" s="13"/>
      <c r="H9" s="30">
        <v>65000</v>
      </c>
      <c r="I9" s="13">
        <v>1.05</v>
      </c>
      <c r="J9" s="30">
        <f t="shared" si="0"/>
        <v>68250</v>
      </c>
      <c r="K9" s="62">
        <f t="shared" si="1"/>
        <v>819000</v>
      </c>
      <c r="L9" s="65">
        <f t="shared" si="4"/>
        <v>68250</v>
      </c>
      <c r="M9" s="70">
        <f t="shared" si="2"/>
        <v>750750</v>
      </c>
      <c r="N9" s="65">
        <f t="shared" si="5"/>
        <v>0</v>
      </c>
      <c r="O9" s="14"/>
      <c r="P9" s="13"/>
      <c r="Q9" s="13"/>
      <c r="R9" s="13"/>
      <c r="S9" s="13"/>
      <c r="T9" s="11"/>
      <c r="U9" s="64"/>
      <c r="V9" s="68"/>
      <c r="W9" s="71"/>
      <c r="X9" s="68"/>
      <c r="Y9" s="18"/>
      <c r="Z9" s="13"/>
      <c r="AA9" s="13"/>
      <c r="AB9" s="13"/>
      <c r="AC9" s="13"/>
      <c r="AD9" s="122"/>
      <c r="AE9" s="133"/>
      <c r="AF9" s="134"/>
      <c r="AG9" s="140"/>
      <c r="AH9" s="10">
        <f t="shared" si="3"/>
        <v>819000</v>
      </c>
      <c r="AI9" s="155">
        <f t="shared" si="6"/>
        <v>68250</v>
      </c>
      <c r="AJ9" s="156">
        <f t="shared" si="7"/>
        <v>750750</v>
      </c>
      <c r="AK9" s="157">
        <f t="shared" si="8"/>
        <v>0</v>
      </c>
    </row>
    <row r="10" spans="1:37" s="40" customFormat="1" ht="24.6" customHeight="1" x14ac:dyDescent="0.2">
      <c r="A10" s="1262"/>
      <c r="B10" s="1250"/>
      <c r="C10" s="17" t="s">
        <v>139</v>
      </c>
      <c r="D10" s="13" t="s">
        <v>138</v>
      </c>
      <c r="E10" s="13">
        <v>63</v>
      </c>
      <c r="F10" s="13">
        <v>1</v>
      </c>
      <c r="G10" s="13"/>
      <c r="H10" s="30">
        <v>60000</v>
      </c>
      <c r="I10" s="13">
        <v>1.05</v>
      </c>
      <c r="J10" s="30">
        <f t="shared" si="0"/>
        <v>63000</v>
      </c>
      <c r="K10" s="62">
        <f t="shared" si="1"/>
        <v>756000</v>
      </c>
      <c r="L10" s="65">
        <f t="shared" si="4"/>
        <v>63000</v>
      </c>
      <c r="M10" s="70">
        <f t="shared" si="2"/>
        <v>693000</v>
      </c>
      <c r="N10" s="65">
        <f t="shared" si="5"/>
        <v>0</v>
      </c>
      <c r="O10" s="14"/>
      <c r="P10" s="13"/>
      <c r="Q10" s="13"/>
      <c r="R10" s="13"/>
      <c r="S10" s="13"/>
      <c r="T10" s="11"/>
      <c r="U10" s="64"/>
      <c r="V10" s="68"/>
      <c r="W10" s="71"/>
      <c r="X10" s="68"/>
      <c r="Y10" s="18"/>
      <c r="Z10" s="13"/>
      <c r="AA10" s="13"/>
      <c r="AB10" s="13"/>
      <c r="AC10" s="13"/>
      <c r="AD10" s="122"/>
      <c r="AE10" s="133"/>
      <c r="AF10" s="134"/>
      <c r="AG10" s="140"/>
      <c r="AH10" s="10">
        <f t="shared" si="3"/>
        <v>756000</v>
      </c>
      <c r="AI10" s="155">
        <f t="shared" si="6"/>
        <v>63000</v>
      </c>
      <c r="AJ10" s="156">
        <f t="shared" si="7"/>
        <v>693000</v>
      </c>
      <c r="AK10" s="157">
        <f t="shared" si="8"/>
        <v>0</v>
      </c>
    </row>
    <row r="11" spans="1:37" s="40" customFormat="1" ht="22.15" customHeight="1" x14ac:dyDescent="0.2">
      <c r="A11" s="1262">
        <v>3</v>
      </c>
      <c r="B11" s="1250" t="s">
        <v>137</v>
      </c>
      <c r="C11" s="1250" t="s">
        <v>6</v>
      </c>
      <c r="D11" s="13" t="s">
        <v>136</v>
      </c>
      <c r="E11" s="13">
        <v>247</v>
      </c>
      <c r="F11" s="13">
        <v>1</v>
      </c>
      <c r="G11" s="13"/>
      <c r="H11" s="30">
        <v>65000</v>
      </c>
      <c r="I11" s="13">
        <v>1.05</v>
      </c>
      <c r="J11" s="30">
        <f t="shared" si="0"/>
        <v>68250</v>
      </c>
      <c r="K11" s="62">
        <f t="shared" si="1"/>
        <v>819000</v>
      </c>
      <c r="L11" s="65">
        <f t="shared" si="4"/>
        <v>68250</v>
      </c>
      <c r="M11" s="70">
        <f t="shared" si="2"/>
        <v>750750</v>
      </c>
      <c r="N11" s="65">
        <f t="shared" si="5"/>
        <v>0</v>
      </c>
      <c r="O11" s="14"/>
      <c r="P11" s="13"/>
      <c r="Q11" s="13"/>
      <c r="R11" s="13"/>
      <c r="S11" s="13"/>
      <c r="T11" s="11"/>
      <c r="U11" s="64"/>
      <c r="V11" s="68"/>
      <c r="W11" s="71"/>
      <c r="X11" s="68"/>
      <c r="Y11" s="18"/>
      <c r="Z11" s="13"/>
      <c r="AA11" s="13"/>
      <c r="AB11" s="13"/>
      <c r="AC11" s="13"/>
      <c r="AD11" s="122"/>
      <c r="AE11" s="133"/>
      <c r="AF11" s="134"/>
      <c r="AG11" s="140"/>
      <c r="AH11" s="10">
        <f t="shared" si="3"/>
        <v>819000</v>
      </c>
      <c r="AI11" s="155">
        <f t="shared" si="6"/>
        <v>68250</v>
      </c>
      <c r="AJ11" s="156">
        <f t="shared" si="7"/>
        <v>750750</v>
      </c>
      <c r="AK11" s="157">
        <f t="shared" si="8"/>
        <v>0</v>
      </c>
    </row>
    <row r="12" spans="1:37" s="40" customFormat="1" ht="22.15" customHeight="1" x14ac:dyDescent="0.2">
      <c r="A12" s="1262"/>
      <c r="B12" s="1250"/>
      <c r="C12" s="1250"/>
      <c r="D12" s="13" t="s">
        <v>135</v>
      </c>
      <c r="E12" s="13">
        <v>290</v>
      </c>
      <c r="F12" s="13">
        <v>1</v>
      </c>
      <c r="G12" s="13"/>
      <c r="H12" s="30">
        <v>65000</v>
      </c>
      <c r="I12" s="13">
        <v>1.05</v>
      </c>
      <c r="J12" s="30">
        <f t="shared" si="0"/>
        <v>68250</v>
      </c>
      <c r="K12" s="62">
        <f t="shared" si="1"/>
        <v>819000</v>
      </c>
      <c r="L12" s="65">
        <f t="shared" si="4"/>
        <v>68250</v>
      </c>
      <c r="M12" s="70">
        <f t="shared" si="2"/>
        <v>750750</v>
      </c>
      <c r="N12" s="65">
        <f t="shared" si="5"/>
        <v>0</v>
      </c>
      <c r="O12" s="14"/>
      <c r="P12" s="13"/>
      <c r="Q12" s="13"/>
      <c r="R12" s="13"/>
      <c r="S12" s="13"/>
      <c r="T12" s="11"/>
      <c r="U12" s="64"/>
      <c r="V12" s="68"/>
      <c r="W12" s="71"/>
      <c r="X12" s="68"/>
      <c r="Y12" s="18"/>
      <c r="Z12" s="13"/>
      <c r="AA12" s="13"/>
      <c r="AB12" s="13"/>
      <c r="AC12" s="13"/>
      <c r="AD12" s="122"/>
      <c r="AE12" s="133"/>
      <c r="AF12" s="134"/>
      <c r="AG12" s="140"/>
      <c r="AH12" s="10">
        <f t="shared" si="3"/>
        <v>819000</v>
      </c>
      <c r="AI12" s="155">
        <f t="shared" si="6"/>
        <v>68250</v>
      </c>
      <c r="AJ12" s="156">
        <f t="shared" si="7"/>
        <v>750750</v>
      </c>
      <c r="AK12" s="157">
        <f t="shared" si="8"/>
        <v>0</v>
      </c>
    </row>
    <row r="13" spans="1:37" s="40" customFormat="1" ht="22.15" customHeight="1" x14ac:dyDescent="0.2">
      <c r="A13" s="1262">
        <v>4</v>
      </c>
      <c r="B13" s="1250" t="s">
        <v>134</v>
      </c>
      <c r="C13" s="1250" t="s">
        <v>6</v>
      </c>
      <c r="D13" s="13" t="s">
        <v>133</v>
      </c>
      <c r="E13" s="13">
        <v>160</v>
      </c>
      <c r="F13" s="13">
        <v>1</v>
      </c>
      <c r="G13" s="13"/>
      <c r="H13" s="30">
        <v>65000</v>
      </c>
      <c r="I13" s="13">
        <v>1.05</v>
      </c>
      <c r="J13" s="30">
        <f t="shared" si="0"/>
        <v>68250</v>
      </c>
      <c r="K13" s="62">
        <f t="shared" si="1"/>
        <v>819000</v>
      </c>
      <c r="L13" s="65">
        <f t="shared" si="4"/>
        <v>68250</v>
      </c>
      <c r="M13" s="70">
        <f t="shared" si="2"/>
        <v>750750</v>
      </c>
      <c r="N13" s="65">
        <f t="shared" si="5"/>
        <v>0</v>
      </c>
      <c r="O13" s="14"/>
      <c r="P13" s="13"/>
      <c r="Q13" s="13"/>
      <c r="R13" s="13"/>
      <c r="S13" s="13"/>
      <c r="T13" s="11"/>
      <c r="U13" s="64"/>
      <c r="V13" s="68"/>
      <c r="W13" s="71"/>
      <c r="X13" s="68"/>
      <c r="Y13" s="18"/>
      <c r="Z13" s="13"/>
      <c r="AA13" s="13"/>
      <c r="AB13" s="13"/>
      <c r="AC13" s="13"/>
      <c r="AD13" s="122"/>
      <c r="AE13" s="133"/>
      <c r="AF13" s="134"/>
      <c r="AG13" s="140"/>
      <c r="AH13" s="10">
        <f t="shared" si="3"/>
        <v>819000</v>
      </c>
      <c r="AI13" s="155">
        <f t="shared" si="6"/>
        <v>68250</v>
      </c>
      <c r="AJ13" s="156">
        <f t="shared" si="7"/>
        <v>750750</v>
      </c>
      <c r="AK13" s="157">
        <f t="shared" si="8"/>
        <v>0</v>
      </c>
    </row>
    <row r="14" spans="1:37" s="40" customFormat="1" ht="22.15" customHeight="1" x14ac:dyDescent="0.2">
      <c r="A14" s="1262"/>
      <c r="B14" s="1250"/>
      <c r="C14" s="1250"/>
      <c r="D14" s="13" t="s">
        <v>132</v>
      </c>
      <c r="E14" s="13">
        <v>112</v>
      </c>
      <c r="F14" s="13">
        <v>1</v>
      </c>
      <c r="G14" s="13"/>
      <c r="H14" s="30">
        <v>65000</v>
      </c>
      <c r="I14" s="13">
        <v>1.05</v>
      </c>
      <c r="J14" s="30">
        <f t="shared" si="0"/>
        <v>68250</v>
      </c>
      <c r="K14" s="62">
        <f t="shared" si="1"/>
        <v>819000</v>
      </c>
      <c r="L14" s="65">
        <f t="shared" si="4"/>
        <v>68250</v>
      </c>
      <c r="M14" s="70">
        <f t="shared" si="2"/>
        <v>750750</v>
      </c>
      <c r="N14" s="65">
        <f t="shared" si="5"/>
        <v>0</v>
      </c>
      <c r="O14" s="14"/>
      <c r="P14" s="13"/>
      <c r="Q14" s="13"/>
      <c r="R14" s="13"/>
      <c r="S14" s="13"/>
      <c r="T14" s="11"/>
      <c r="U14" s="64"/>
      <c r="V14" s="68"/>
      <c r="W14" s="71"/>
      <c r="X14" s="68"/>
      <c r="Y14" s="18"/>
      <c r="Z14" s="13"/>
      <c r="AA14" s="13"/>
      <c r="AB14" s="13"/>
      <c r="AC14" s="13"/>
      <c r="AD14" s="122"/>
      <c r="AE14" s="133"/>
      <c r="AF14" s="134"/>
      <c r="AG14" s="140"/>
      <c r="AH14" s="10">
        <f t="shared" si="3"/>
        <v>819000</v>
      </c>
      <c r="AI14" s="155">
        <f t="shared" si="6"/>
        <v>68250</v>
      </c>
      <c r="AJ14" s="156">
        <f t="shared" si="7"/>
        <v>750750</v>
      </c>
      <c r="AK14" s="157">
        <f t="shared" si="8"/>
        <v>0</v>
      </c>
    </row>
    <row r="15" spans="1:37" s="40" customFormat="1" ht="25.9" customHeight="1" x14ac:dyDescent="0.2">
      <c r="A15" s="1262">
        <v>5</v>
      </c>
      <c r="B15" s="1250" t="s">
        <v>131</v>
      </c>
      <c r="C15" s="1275" t="s">
        <v>6</v>
      </c>
      <c r="D15" s="13" t="s">
        <v>130</v>
      </c>
      <c r="E15" s="13">
        <v>239</v>
      </c>
      <c r="F15" s="13">
        <v>1</v>
      </c>
      <c r="G15" s="13"/>
      <c r="H15" s="30">
        <v>65000</v>
      </c>
      <c r="I15" s="13">
        <v>1.05</v>
      </c>
      <c r="J15" s="30">
        <f t="shared" si="0"/>
        <v>68250</v>
      </c>
      <c r="K15" s="62">
        <f t="shared" si="1"/>
        <v>819000</v>
      </c>
      <c r="L15" s="65">
        <f t="shared" si="4"/>
        <v>68250</v>
      </c>
      <c r="M15" s="70">
        <f t="shared" si="2"/>
        <v>750750</v>
      </c>
      <c r="N15" s="65">
        <f t="shared" si="5"/>
        <v>0</v>
      </c>
      <c r="O15" s="14"/>
      <c r="P15" s="13"/>
      <c r="Q15" s="13"/>
      <c r="R15" s="13"/>
      <c r="S15" s="13"/>
      <c r="T15" s="11"/>
      <c r="U15" s="64"/>
      <c r="V15" s="68"/>
      <c r="W15" s="71"/>
      <c r="X15" s="68"/>
      <c r="Y15" s="18"/>
      <c r="Z15" s="13"/>
      <c r="AA15" s="13"/>
      <c r="AB15" s="13"/>
      <c r="AC15" s="13"/>
      <c r="AD15" s="122"/>
      <c r="AE15" s="133"/>
      <c r="AF15" s="134"/>
      <c r="AG15" s="140"/>
      <c r="AH15" s="10">
        <f t="shared" si="3"/>
        <v>819000</v>
      </c>
      <c r="AI15" s="155">
        <f t="shared" si="6"/>
        <v>68250</v>
      </c>
      <c r="AJ15" s="156">
        <f t="shared" si="7"/>
        <v>750750</v>
      </c>
      <c r="AK15" s="157">
        <f t="shared" si="8"/>
        <v>0</v>
      </c>
    </row>
    <row r="16" spans="1:37" s="40" customFormat="1" ht="25.9" customHeight="1" x14ac:dyDescent="0.2">
      <c r="A16" s="1262"/>
      <c r="B16" s="1250"/>
      <c r="C16" s="1276"/>
      <c r="D16" s="13" t="s">
        <v>129</v>
      </c>
      <c r="E16" s="13">
        <v>132</v>
      </c>
      <c r="F16" s="13">
        <v>1</v>
      </c>
      <c r="G16" s="13"/>
      <c r="H16" s="30">
        <v>65000</v>
      </c>
      <c r="I16" s="13">
        <v>1.05</v>
      </c>
      <c r="J16" s="30">
        <f t="shared" si="0"/>
        <v>68250</v>
      </c>
      <c r="K16" s="62">
        <f t="shared" si="1"/>
        <v>819000</v>
      </c>
      <c r="L16" s="65">
        <f t="shared" si="4"/>
        <v>68250</v>
      </c>
      <c r="M16" s="70">
        <f t="shared" si="2"/>
        <v>750750</v>
      </c>
      <c r="N16" s="65">
        <f t="shared" si="5"/>
        <v>0</v>
      </c>
      <c r="O16" s="14"/>
      <c r="P16" s="13"/>
      <c r="Q16" s="13"/>
      <c r="R16" s="13"/>
      <c r="S16" s="13"/>
      <c r="T16" s="11"/>
      <c r="U16" s="64"/>
      <c r="V16" s="68"/>
      <c r="W16" s="71"/>
      <c r="X16" s="68"/>
      <c r="Y16" s="18"/>
      <c r="Z16" s="13"/>
      <c r="AA16" s="13"/>
      <c r="AB16" s="13"/>
      <c r="AC16" s="13"/>
      <c r="AD16" s="122"/>
      <c r="AE16" s="133"/>
      <c r="AF16" s="134"/>
      <c r="AG16" s="140"/>
      <c r="AH16" s="10">
        <f t="shared" si="3"/>
        <v>819000</v>
      </c>
      <c r="AI16" s="155">
        <f t="shared" si="6"/>
        <v>68250</v>
      </c>
      <c r="AJ16" s="156">
        <f t="shared" si="7"/>
        <v>750750</v>
      </c>
      <c r="AK16" s="157">
        <f t="shared" si="8"/>
        <v>0</v>
      </c>
    </row>
    <row r="17" spans="1:37" s="40" customFormat="1" ht="25.9" customHeight="1" x14ac:dyDescent="0.2">
      <c r="A17" s="1262"/>
      <c r="B17" s="1250"/>
      <c r="C17" s="1277"/>
      <c r="D17" s="13" t="s">
        <v>128</v>
      </c>
      <c r="E17" s="13">
        <v>69</v>
      </c>
      <c r="F17" s="13">
        <v>1</v>
      </c>
      <c r="G17" s="13"/>
      <c r="H17" s="30">
        <v>60000</v>
      </c>
      <c r="I17" s="13">
        <v>1.05</v>
      </c>
      <c r="J17" s="30">
        <f t="shared" si="0"/>
        <v>63000</v>
      </c>
      <c r="K17" s="62">
        <f t="shared" si="1"/>
        <v>756000</v>
      </c>
      <c r="L17" s="65">
        <f t="shared" si="4"/>
        <v>63000</v>
      </c>
      <c r="M17" s="70">
        <f t="shared" si="2"/>
        <v>693000</v>
      </c>
      <c r="N17" s="65">
        <f t="shared" si="5"/>
        <v>0</v>
      </c>
      <c r="O17" s="14"/>
      <c r="P17" s="13"/>
      <c r="Q17" s="13"/>
      <c r="R17" s="13"/>
      <c r="S17" s="13"/>
      <c r="T17" s="11"/>
      <c r="U17" s="64"/>
      <c r="V17" s="68"/>
      <c r="W17" s="71"/>
      <c r="X17" s="68"/>
      <c r="Y17" s="18"/>
      <c r="Z17" s="13"/>
      <c r="AA17" s="13"/>
      <c r="AB17" s="13"/>
      <c r="AC17" s="13"/>
      <c r="AD17" s="122"/>
      <c r="AE17" s="133"/>
      <c r="AF17" s="134"/>
      <c r="AG17" s="140"/>
      <c r="AH17" s="10">
        <f t="shared" si="3"/>
        <v>756000</v>
      </c>
      <c r="AI17" s="155">
        <f t="shared" si="6"/>
        <v>63000</v>
      </c>
      <c r="AJ17" s="156">
        <f t="shared" si="7"/>
        <v>693000</v>
      </c>
      <c r="AK17" s="157">
        <f t="shared" si="8"/>
        <v>0</v>
      </c>
    </row>
    <row r="18" spans="1:37" s="40" customFormat="1" ht="24.6" customHeight="1" x14ac:dyDescent="0.2">
      <c r="A18" s="1262">
        <v>6</v>
      </c>
      <c r="B18" s="1250" t="s">
        <v>127</v>
      </c>
      <c r="C18" s="1250" t="s">
        <v>6</v>
      </c>
      <c r="D18" s="13" t="s">
        <v>126</v>
      </c>
      <c r="E18" s="13">
        <v>306</v>
      </c>
      <c r="F18" s="13">
        <v>1</v>
      </c>
      <c r="G18" s="13"/>
      <c r="H18" s="30">
        <v>65000</v>
      </c>
      <c r="I18" s="13">
        <v>1.05</v>
      </c>
      <c r="J18" s="30">
        <f t="shared" si="0"/>
        <v>68250</v>
      </c>
      <c r="K18" s="62">
        <f t="shared" si="1"/>
        <v>819000</v>
      </c>
      <c r="L18" s="65">
        <f t="shared" si="4"/>
        <v>68250</v>
      </c>
      <c r="M18" s="70">
        <f t="shared" si="2"/>
        <v>750750</v>
      </c>
      <c r="N18" s="65">
        <f t="shared" si="5"/>
        <v>0</v>
      </c>
      <c r="O18" s="14"/>
      <c r="P18" s="13"/>
      <c r="Q18" s="13"/>
      <c r="R18" s="13"/>
      <c r="S18" s="13"/>
      <c r="T18" s="11"/>
      <c r="U18" s="64"/>
      <c r="V18" s="68"/>
      <c r="W18" s="71"/>
      <c r="X18" s="68"/>
      <c r="Y18" s="18"/>
      <c r="Z18" s="13"/>
      <c r="AA18" s="13"/>
      <c r="AB18" s="13"/>
      <c r="AC18" s="13"/>
      <c r="AD18" s="122"/>
      <c r="AE18" s="133"/>
      <c r="AF18" s="134"/>
      <c r="AG18" s="140"/>
      <c r="AH18" s="10">
        <f t="shared" si="3"/>
        <v>819000</v>
      </c>
      <c r="AI18" s="155">
        <f t="shared" si="6"/>
        <v>68250</v>
      </c>
      <c r="AJ18" s="156">
        <f t="shared" si="7"/>
        <v>750750</v>
      </c>
      <c r="AK18" s="157">
        <f t="shared" si="8"/>
        <v>0</v>
      </c>
    </row>
    <row r="19" spans="1:37" s="40" customFormat="1" ht="24.6" customHeight="1" x14ac:dyDescent="0.2">
      <c r="A19" s="1262"/>
      <c r="B19" s="1250"/>
      <c r="C19" s="1250"/>
      <c r="D19" s="13" t="s">
        <v>125</v>
      </c>
      <c r="E19" s="13">
        <v>25</v>
      </c>
      <c r="F19" s="13"/>
      <c r="G19" s="13">
        <v>1</v>
      </c>
      <c r="H19" s="30">
        <v>30000</v>
      </c>
      <c r="I19" s="13">
        <v>1.05</v>
      </c>
      <c r="J19" s="30">
        <f t="shared" si="0"/>
        <v>31500</v>
      </c>
      <c r="K19" s="62">
        <f>J19*G19*12</f>
        <v>378000</v>
      </c>
      <c r="L19" s="65">
        <f t="shared" si="4"/>
        <v>31500</v>
      </c>
      <c r="M19" s="70">
        <f t="shared" si="2"/>
        <v>346500</v>
      </c>
      <c r="N19" s="65">
        <f t="shared" si="5"/>
        <v>0</v>
      </c>
      <c r="O19" s="18"/>
      <c r="P19" s="13"/>
      <c r="Q19" s="13"/>
      <c r="R19" s="13"/>
      <c r="S19" s="13"/>
      <c r="T19" s="11"/>
      <c r="U19" s="64"/>
      <c r="V19" s="68"/>
      <c r="W19" s="71"/>
      <c r="X19" s="68"/>
      <c r="Y19" s="18"/>
      <c r="Z19" s="13"/>
      <c r="AA19" s="13"/>
      <c r="AB19" s="13"/>
      <c r="AC19" s="13"/>
      <c r="AD19" s="122"/>
      <c r="AE19" s="133"/>
      <c r="AF19" s="134"/>
      <c r="AG19" s="140"/>
      <c r="AH19" s="10">
        <f t="shared" si="3"/>
        <v>378000</v>
      </c>
      <c r="AI19" s="155">
        <f t="shared" si="6"/>
        <v>31500</v>
      </c>
      <c r="AJ19" s="156">
        <f t="shared" si="7"/>
        <v>346500</v>
      </c>
      <c r="AK19" s="157">
        <f t="shared" si="8"/>
        <v>0</v>
      </c>
    </row>
    <row r="20" spans="1:37" s="40" customFormat="1" ht="24.6" customHeight="1" x14ac:dyDescent="0.2">
      <c r="A20" s="1262"/>
      <c r="B20" s="1250"/>
      <c r="C20" s="1250"/>
      <c r="D20" s="13" t="s">
        <v>124</v>
      </c>
      <c r="E20" s="13">
        <v>26</v>
      </c>
      <c r="F20" s="13"/>
      <c r="G20" s="13">
        <v>1</v>
      </c>
      <c r="H20" s="30">
        <v>30000</v>
      </c>
      <c r="I20" s="13">
        <v>1.05</v>
      </c>
      <c r="J20" s="30">
        <f t="shared" si="0"/>
        <v>31500</v>
      </c>
      <c r="K20" s="62">
        <f>J20*G20*12</f>
        <v>378000</v>
      </c>
      <c r="L20" s="65">
        <f t="shared" si="4"/>
        <v>31500</v>
      </c>
      <c r="M20" s="70">
        <f t="shared" si="2"/>
        <v>346500</v>
      </c>
      <c r="N20" s="65">
        <f t="shared" si="5"/>
        <v>0</v>
      </c>
      <c r="O20" s="18"/>
      <c r="P20" s="13"/>
      <c r="Q20" s="13"/>
      <c r="R20" s="13"/>
      <c r="S20" s="13"/>
      <c r="T20" s="11"/>
      <c r="U20" s="64"/>
      <c r="V20" s="68"/>
      <c r="W20" s="71"/>
      <c r="X20" s="68"/>
      <c r="Y20" s="18"/>
      <c r="Z20" s="13"/>
      <c r="AA20" s="13"/>
      <c r="AB20" s="13"/>
      <c r="AC20" s="13"/>
      <c r="AD20" s="122"/>
      <c r="AE20" s="133"/>
      <c r="AF20" s="134"/>
      <c r="AG20" s="140"/>
      <c r="AH20" s="10">
        <f t="shared" si="3"/>
        <v>378000</v>
      </c>
      <c r="AI20" s="155">
        <f t="shared" si="6"/>
        <v>31500</v>
      </c>
      <c r="AJ20" s="156">
        <f t="shared" si="7"/>
        <v>346500</v>
      </c>
      <c r="AK20" s="157">
        <f t="shared" si="8"/>
        <v>0</v>
      </c>
    </row>
    <row r="21" spans="1:37" s="40" customFormat="1" ht="31.5" x14ac:dyDescent="0.2">
      <c r="A21" s="18">
        <v>7</v>
      </c>
      <c r="B21" s="54" t="s">
        <v>123</v>
      </c>
      <c r="C21" s="17" t="s">
        <v>6</v>
      </c>
      <c r="D21" s="13" t="s">
        <v>122</v>
      </c>
      <c r="E21" s="13">
        <v>324</v>
      </c>
      <c r="F21" s="13">
        <v>1</v>
      </c>
      <c r="G21" s="13"/>
      <c r="H21" s="30">
        <v>65000</v>
      </c>
      <c r="I21" s="13">
        <v>1.05</v>
      </c>
      <c r="J21" s="30">
        <f t="shared" si="0"/>
        <v>68250</v>
      </c>
      <c r="K21" s="62">
        <f t="shared" ref="K21:K37" si="9">J21*F21*12</f>
        <v>819000</v>
      </c>
      <c r="L21" s="65">
        <f t="shared" si="4"/>
        <v>68250</v>
      </c>
      <c r="M21" s="70">
        <f t="shared" si="2"/>
        <v>750750</v>
      </c>
      <c r="N21" s="65">
        <f t="shared" si="5"/>
        <v>0</v>
      </c>
      <c r="O21" s="14"/>
      <c r="P21" s="13"/>
      <c r="Q21" s="13"/>
      <c r="R21" s="13"/>
      <c r="S21" s="13"/>
      <c r="T21" s="11"/>
      <c r="U21" s="64"/>
      <c r="V21" s="68"/>
      <c r="W21" s="71"/>
      <c r="X21" s="68"/>
      <c r="Y21" s="18"/>
      <c r="Z21" s="13"/>
      <c r="AA21" s="13"/>
      <c r="AB21" s="13"/>
      <c r="AC21" s="13"/>
      <c r="AD21" s="122"/>
      <c r="AE21" s="133"/>
      <c r="AF21" s="134"/>
      <c r="AG21" s="140"/>
      <c r="AH21" s="10">
        <f t="shared" si="3"/>
        <v>819000</v>
      </c>
      <c r="AI21" s="155">
        <f t="shared" si="6"/>
        <v>68250</v>
      </c>
      <c r="AJ21" s="156">
        <f t="shared" si="7"/>
        <v>750750</v>
      </c>
      <c r="AK21" s="157">
        <f t="shared" si="8"/>
        <v>0</v>
      </c>
    </row>
    <row r="22" spans="1:37" s="40" customFormat="1" ht="27" customHeight="1" x14ac:dyDescent="0.2">
      <c r="A22" s="1262">
        <v>8</v>
      </c>
      <c r="B22" s="1250" t="s">
        <v>121</v>
      </c>
      <c r="C22" s="1250" t="s">
        <v>6</v>
      </c>
      <c r="D22" s="13" t="s">
        <v>120</v>
      </c>
      <c r="E22" s="13">
        <v>285</v>
      </c>
      <c r="F22" s="13">
        <v>1</v>
      </c>
      <c r="G22" s="13"/>
      <c r="H22" s="30">
        <v>65000</v>
      </c>
      <c r="I22" s="13">
        <v>1.05</v>
      </c>
      <c r="J22" s="30">
        <f t="shared" si="0"/>
        <v>68250</v>
      </c>
      <c r="K22" s="62">
        <f t="shared" si="9"/>
        <v>819000</v>
      </c>
      <c r="L22" s="65">
        <f t="shared" si="4"/>
        <v>68250</v>
      </c>
      <c r="M22" s="70">
        <f t="shared" si="2"/>
        <v>750750</v>
      </c>
      <c r="N22" s="65">
        <f t="shared" si="5"/>
        <v>0</v>
      </c>
      <c r="O22" s="14"/>
      <c r="P22" s="13"/>
      <c r="Q22" s="13"/>
      <c r="R22" s="13"/>
      <c r="S22" s="13"/>
      <c r="T22" s="11"/>
      <c r="U22" s="64"/>
      <c r="V22" s="68"/>
      <c r="W22" s="71"/>
      <c r="X22" s="68"/>
      <c r="Y22" s="18"/>
      <c r="Z22" s="13"/>
      <c r="AA22" s="13"/>
      <c r="AB22" s="13"/>
      <c r="AC22" s="13"/>
      <c r="AD22" s="122"/>
      <c r="AE22" s="133"/>
      <c r="AF22" s="134"/>
      <c r="AG22" s="140"/>
      <c r="AH22" s="10">
        <f t="shared" si="3"/>
        <v>819000</v>
      </c>
      <c r="AI22" s="155">
        <f t="shared" si="6"/>
        <v>68250</v>
      </c>
      <c r="AJ22" s="156">
        <f t="shared" si="7"/>
        <v>750750</v>
      </c>
      <c r="AK22" s="157">
        <f t="shared" si="8"/>
        <v>0</v>
      </c>
    </row>
    <row r="23" spans="1:37" s="40" customFormat="1" ht="27" customHeight="1" x14ac:dyDescent="0.2">
      <c r="A23" s="1262"/>
      <c r="B23" s="1250"/>
      <c r="C23" s="1250"/>
      <c r="D23" s="13" t="s">
        <v>119</v>
      </c>
      <c r="E23" s="13">
        <v>151</v>
      </c>
      <c r="F23" s="13">
        <v>1</v>
      </c>
      <c r="G23" s="13"/>
      <c r="H23" s="30">
        <v>65000</v>
      </c>
      <c r="I23" s="13">
        <v>1.05</v>
      </c>
      <c r="J23" s="30">
        <f t="shared" si="0"/>
        <v>68250</v>
      </c>
      <c r="K23" s="62">
        <f t="shared" si="9"/>
        <v>819000</v>
      </c>
      <c r="L23" s="65">
        <f t="shared" si="4"/>
        <v>68250</v>
      </c>
      <c r="M23" s="70">
        <f t="shared" si="2"/>
        <v>750750</v>
      </c>
      <c r="N23" s="65">
        <f t="shared" si="5"/>
        <v>0</v>
      </c>
      <c r="O23" s="14"/>
      <c r="P23" s="13"/>
      <c r="Q23" s="13"/>
      <c r="R23" s="13"/>
      <c r="S23" s="13"/>
      <c r="T23" s="11"/>
      <c r="U23" s="64"/>
      <c r="V23" s="68"/>
      <c r="W23" s="71"/>
      <c r="X23" s="68"/>
      <c r="Y23" s="18"/>
      <c r="Z23" s="13"/>
      <c r="AA23" s="13"/>
      <c r="AB23" s="13"/>
      <c r="AC23" s="13"/>
      <c r="AD23" s="122"/>
      <c r="AE23" s="133"/>
      <c r="AF23" s="134"/>
      <c r="AG23" s="140"/>
      <c r="AH23" s="10">
        <f t="shared" si="3"/>
        <v>819000</v>
      </c>
      <c r="AI23" s="155">
        <f t="shared" si="6"/>
        <v>68250</v>
      </c>
      <c r="AJ23" s="156">
        <f t="shared" si="7"/>
        <v>750750</v>
      </c>
      <c r="AK23" s="157">
        <f t="shared" si="8"/>
        <v>0</v>
      </c>
    </row>
    <row r="24" spans="1:37" s="40" customFormat="1" ht="24" customHeight="1" x14ac:dyDescent="0.2">
      <c r="A24" s="1291">
        <v>9</v>
      </c>
      <c r="B24" s="1275" t="s">
        <v>118</v>
      </c>
      <c r="C24" s="1294" t="s">
        <v>6</v>
      </c>
      <c r="D24" s="13" t="s">
        <v>117</v>
      </c>
      <c r="E24" s="13">
        <v>80</v>
      </c>
      <c r="F24" s="13">
        <v>1</v>
      </c>
      <c r="G24" s="13"/>
      <c r="H24" s="30">
        <v>60000</v>
      </c>
      <c r="I24" s="13">
        <v>1.05</v>
      </c>
      <c r="J24" s="30">
        <f t="shared" si="0"/>
        <v>63000</v>
      </c>
      <c r="K24" s="62">
        <f t="shared" si="9"/>
        <v>756000</v>
      </c>
      <c r="L24" s="65">
        <f t="shared" si="4"/>
        <v>63000</v>
      </c>
      <c r="M24" s="70">
        <f t="shared" si="2"/>
        <v>693000</v>
      </c>
      <c r="N24" s="65">
        <f t="shared" si="5"/>
        <v>0</v>
      </c>
      <c r="O24" s="14"/>
      <c r="P24" s="13"/>
      <c r="Q24" s="13"/>
      <c r="R24" s="13"/>
      <c r="S24" s="13"/>
      <c r="T24" s="11"/>
      <c r="U24" s="64"/>
      <c r="V24" s="68"/>
      <c r="W24" s="71"/>
      <c r="X24" s="68"/>
      <c r="Y24" s="18"/>
      <c r="Z24" s="13"/>
      <c r="AA24" s="13"/>
      <c r="AB24" s="13"/>
      <c r="AC24" s="13"/>
      <c r="AD24" s="122"/>
      <c r="AE24" s="133"/>
      <c r="AF24" s="134"/>
      <c r="AG24" s="140"/>
      <c r="AH24" s="10">
        <f t="shared" si="3"/>
        <v>756000</v>
      </c>
      <c r="AI24" s="155">
        <f t="shared" si="6"/>
        <v>63000</v>
      </c>
      <c r="AJ24" s="156">
        <f t="shared" si="7"/>
        <v>693000</v>
      </c>
      <c r="AK24" s="157">
        <f t="shared" si="8"/>
        <v>0</v>
      </c>
    </row>
    <row r="25" spans="1:37" s="40" customFormat="1" ht="24" customHeight="1" x14ac:dyDescent="0.2">
      <c r="A25" s="1292"/>
      <c r="B25" s="1276"/>
      <c r="C25" s="1295"/>
      <c r="D25" s="13" t="s">
        <v>116</v>
      </c>
      <c r="E25" s="13">
        <v>313</v>
      </c>
      <c r="F25" s="13">
        <v>1</v>
      </c>
      <c r="G25" s="13"/>
      <c r="H25" s="30">
        <v>65000</v>
      </c>
      <c r="I25" s="13">
        <v>1.05</v>
      </c>
      <c r="J25" s="30">
        <f t="shared" si="0"/>
        <v>68250</v>
      </c>
      <c r="K25" s="62">
        <f t="shared" si="9"/>
        <v>819000</v>
      </c>
      <c r="L25" s="65">
        <f t="shared" si="4"/>
        <v>68250</v>
      </c>
      <c r="M25" s="70">
        <f t="shared" si="2"/>
        <v>750750</v>
      </c>
      <c r="N25" s="65">
        <f t="shared" si="5"/>
        <v>0</v>
      </c>
      <c r="O25" s="14"/>
      <c r="P25" s="13"/>
      <c r="Q25" s="13"/>
      <c r="R25" s="13"/>
      <c r="S25" s="13"/>
      <c r="T25" s="11"/>
      <c r="U25" s="64"/>
      <c r="V25" s="68"/>
      <c r="W25" s="71"/>
      <c r="X25" s="68"/>
      <c r="Y25" s="18"/>
      <c r="Z25" s="13"/>
      <c r="AA25" s="13"/>
      <c r="AB25" s="13"/>
      <c r="AC25" s="13"/>
      <c r="AD25" s="122"/>
      <c r="AE25" s="133"/>
      <c r="AF25" s="134"/>
      <c r="AG25" s="140"/>
      <c r="AH25" s="10">
        <f t="shared" si="3"/>
        <v>819000</v>
      </c>
      <c r="AI25" s="155">
        <f t="shared" si="6"/>
        <v>68250</v>
      </c>
      <c r="AJ25" s="156">
        <f t="shared" si="7"/>
        <v>750750</v>
      </c>
      <c r="AK25" s="157">
        <f t="shared" si="8"/>
        <v>0</v>
      </c>
    </row>
    <row r="26" spans="1:37" s="40" customFormat="1" ht="24" customHeight="1" x14ac:dyDescent="0.2">
      <c r="A26" s="1292"/>
      <c r="B26" s="1276"/>
      <c r="C26" s="1295"/>
      <c r="D26" s="13" t="s">
        <v>115</v>
      </c>
      <c r="E26" s="13">
        <v>150</v>
      </c>
      <c r="F26" s="13">
        <v>1</v>
      </c>
      <c r="G26" s="13"/>
      <c r="H26" s="30">
        <v>65000</v>
      </c>
      <c r="I26" s="13">
        <v>1.05</v>
      </c>
      <c r="J26" s="30">
        <f t="shared" si="0"/>
        <v>68250</v>
      </c>
      <c r="K26" s="62">
        <f t="shared" si="9"/>
        <v>819000</v>
      </c>
      <c r="L26" s="65">
        <f t="shared" si="4"/>
        <v>68250</v>
      </c>
      <c r="M26" s="70">
        <f t="shared" si="2"/>
        <v>750750</v>
      </c>
      <c r="N26" s="65">
        <f t="shared" si="5"/>
        <v>0</v>
      </c>
      <c r="O26" s="14"/>
      <c r="P26" s="13"/>
      <c r="Q26" s="13"/>
      <c r="R26" s="13"/>
      <c r="S26" s="13"/>
      <c r="T26" s="11"/>
      <c r="U26" s="64"/>
      <c r="V26" s="68"/>
      <c r="W26" s="71"/>
      <c r="X26" s="68"/>
      <c r="Y26" s="18"/>
      <c r="Z26" s="13"/>
      <c r="AA26" s="13"/>
      <c r="AB26" s="13"/>
      <c r="AC26" s="13"/>
      <c r="AD26" s="122"/>
      <c r="AE26" s="133"/>
      <c r="AF26" s="134"/>
      <c r="AG26" s="140"/>
      <c r="AH26" s="10">
        <f t="shared" si="3"/>
        <v>819000</v>
      </c>
      <c r="AI26" s="155">
        <f t="shared" si="6"/>
        <v>68250</v>
      </c>
      <c r="AJ26" s="156">
        <f t="shared" si="7"/>
        <v>750750</v>
      </c>
      <c r="AK26" s="157">
        <f t="shared" si="8"/>
        <v>0</v>
      </c>
    </row>
    <row r="27" spans="1:37" s="40" customFormat="1" ht="24" customHeight="1" x14ac:dyDescent="0.2">
      <c r="A27" s="1293"/>
      <c r="B27" s="1277"/>
      <c r="C27" s="1296"/>
      <c r="D27" s="32" t="s">
        <v>20</v>
      </c>
      <c r="E27" s="13">
        <v>150</v>
      </c>
      <c r="F27" s="13">
        <v>1</v>
      </c>
      <c r="G27" s="13"/>
      <c r="H27" s="30">
        <v>65000</v>
      </c>
      <c r="I27" s="13">
        <v>1.05</v>
      </c>
      <c r="J27" s="30">
        <f t="shared" si="0"/>
        <v>68250</v>
      </c>
      <c r="K27" s="62">
        <f t="shared" si="9"/>
        <v>819000</v>
      </c>
      <c r="L27" s="65">
        <f t="shared" si="4"/>
        <v>68250</v>
      </c>
      <c r="M27" s="70">
        <f t="shared" si="2"/>
        <v>750750</v>
      </c>
      <c r="N27" s="65">
        <f t="shared" si="5"/>
        <v>0</v>
      </c>
      <c r="O27" s="14"/>
      <c r="P27" s="13"/>
      <c r="Q27" s="13"/>
      <c r="R27" s="13"/>
      <c r="S27" s="13"/>
      <c r="T27" s="11"/>
      <c r="U27" s="64"/>
      <c r="V27" s="68"/>
      <c r="W27" s="71"/>
      <c r="X27" s="68"/>
      <c r="Y27" s="18"/>
      <c r="Z27" s="13"/>
      <c r="AA27" s="13"/>
      <c r="AB27" s="13"/>
      <c r="AC27" s="13"/>
      <c r="AD27" s="122"/>
      <c r="AE27" s="133"/>
      <c r="AF27" s="134"/>
      <c r="AG27" s="140"/>
      <c r="AH27" s="10">
        <f t="shared" si="3"/>
        <v>819000</v>
      </c>
      <c r="AI27" s="155">
        <f t="shared" si="6"/>
        <v>68250</v>
      </c>
      <c r="AJ27" s="156">
        <f t="shared" si="7"/>
        <v>750750</v>
      </c>
      <c r="AK27" s="157">
        <f t="shared" si="8"/>
        <v>0</v>
      </c>
    </row>
    <row r="28" spans="1:37" s="40" customFormat="1" ht="22.15" customHeight="1" x14ac:dyDescent="0.2">
      <c r="A28" s="1262">
        <v>10</v>
      </c>
      <c r="B28" s="1250" t="s">
        <v>114</v>
      </c>
      <c r="C28" s="1250" t="s">
        <v>6</v>
      </c>
      <c r="D28" s="13" t="s">
        <v>113</v>
      </c>
      <c r="E28" s="13">
        <v>386</v>
      </c>
      <c r="F28" s="13">
        <v>1</v>
      </c>
      <c r="G28" s="13"/>
      <c r="H28" s="30">
        <v>65000</v>
      </c>
      <c r="I28" s="13">
        <v>1.05</v>
      </c>
      <c r="J28" s="30">
        <f t="shared" si="0"/>
        <v>68250</v>
      </c>
      <c r="K28" s="62">
        <f t="shared" si="9"/>
        <v>819000</v>
      </c>
      <c r="L28" s="65">
        <f t="shared" si="4"/>
        <v>68250</v>
      </c>
      <c r="M28" s="70">
        <f t="shared" si="2"/>
        <v>750750</v>
      </c>
      <c r="N28" s="65">
        <f t="shared" si="5"/>
        <v>0</v>
      </c>
      <c r="O28" s="14"/>
      <c r="P28" s="13"/>
      <c r="Q28" s="13"/>
      <c r="R28" s="13"/>
      <c r="S28" s="13"/>
      <c r="T28" s="11"/>
      <c r="U28" s="64"/>
      <c r="V28" s="68"/>
      <c r="W28" s="71"/>
      <c r="X28" s="68"/>
      <c r="Y28" s="18"/>
      <c r="Z28" s="13"/>
      <c r="AA28" s="13"/>
      <c r="AB28" s="13"/>
      <c r="AC28" s="13"/>
      <c r="AD28" s="122"/>
      <c r="AE28" s="133"/>
      <c r="AF28" s="134"/>
      <c r="AG28" s="140"/>
      <c r="AH28" s="10">
        <f t="shared" si="3"/>
        <v>819000</v>
      </c>
      <c r="AI28" s="155">
        <f t="shared" si="6"/>
        <v>68250</v>
      </c>
      <c r="AJ28" s="156">
        <f t="shared" si="7"/>
        <v>750750</v>
      </c>
      <c r="AK28" s="157">
        <f t="shared" si="8"/>
        <v>0</v>
      </c>
    </row>
    <row r="29" spans="1:37" s="40" customFormat="1" ht="22.15" customHeight="1" x14ac:dyDescent="0.2">
      <c r="A29" s="1262"/>
      <c r="B29" s="1250"/>
      <c r="C29" s="1250"/>
      <c r="D29" s="13" t="s">
        <v>112</v>
      </c>
      <c r="E29" s="13">
        <v>144</v>
      </c>
      <c r="F29" s="13">
        <v>1</v>
      </c>
      <c r="G29" s="13"/>
      <c r="H29" s="30">
        <v>65000</v>
      </c>
      <c r="I29" s="13">
        <v>1.05</v>
      </c>
      <c r="J29" s="30">
        <f t="shared" si="0"/>
        <v>68250</v>
      </c>
      <c r="K29" s="62">
        <f t="shared" si="9"/>
        <v>819000</v>
      </c>
      <c r="L29" s="65">
        <f t="shared" si="4"/>
        <v>68250</v>
      </c>
      <c r="M29" s="70">
        <f t="shared" si="2"/>
        <v>750750</v>
      </c>
      <c r="N29" s="65">
        <f t="shared" si="5"/>
        <v>0</v>
      </c>
      <c r="O29" s="14"/>
      <c r="P29" s="13"/>
      <c r="Q29" s="13"/>
      <c r="R29" s="13"/>
      <c r="S29" s="13"/>
      <c r="T29" s="11"/>
      <c r="U29" s="64"/>
      <c r="V29" s="68"/>
      <c r="W29" s="71"/>
      <c r="X29" s="68"/>
      <c r="Y29" s="18"/>
      <c r="Z29" s="13"/>
      <c r="AA29" s="13"/>
      <c r="AB29" s="13"/>
      <c r="AC29" s="13"/>
      <c r="AD29" s="122"/>
      <c r="AE29" s="133"/>
      <c r="AF29" s="134"/>
      <c r="AG29" s="140"/>
      <c r="AH29" s="10">
        <f t="shared" si="3"/>
        <v>819000</v>
      </c>
      <c r="AI29" s="155">
        <f t="shared" si="6"/>
        <v>68250</v>
      </c>
      <c r="AJ29" s="156">
        <f t="shared" si="7"/>
        <v>750750</v>
      </c>
      <c r="AK29" s="157">
        <f t="shared" si="8"/>
        <v>0</v>
      </c>
    </row>
    <row r="30" spans="1:37" s="40" customFormat="1" ht="47.25" x14ac:dyDescent="0.2">
      <c r="A30" s="18">
        <v>11</v>
      </c>
      <c r="B30" s="17" t="s">
        <v>111</v>
      </c>
      <c r="C30" s="17" t="s">
        <v>6</v>
      </c>
      <c r="D30" s="13" t="s">
        <v>110</v>
      </c>
      <c r="E30" s="13">
        <v>110</v>
      </c>
      <c r="F30" s="13">
        <v>1</v>
      </c>
      <c r="G30" s="13"/>
      <c r="H30" s="30">
        <v>65000</v>
      </c>
      <c r="I30" s="13">
        <v>1.05</v>
      </c>
      <c r="J30" s="30">
        <f t="shared" si="0"/>
        <v>68250</v>
      </c>
      <c r="K30" s="62">
        <f t="shared" si="9"/>
        <v>819000</v>
      </c>
      <c r="L30" s="65">
        <f t="shared" si="4"/>
        <v>68250</v>
      </c>
      <c r="M30" s="70">
        <f t="shared" si="2"/>
        <v>750750</v>
      </c>
      <c r="N30" s="65">
        <f t="shared" si="5"/>
        <v>0</v>
      </c>
      <c r="O30" s="14"/>
      <c r="P30" s="13"/>
      <c r="Q30" s="13"/>
      <c r="R30" s="13"/>
      <c r="S30" s="13"/>
      <c r="T30" s="11"/>
      <c r="U30" s="64"/>
      <c r="V30" s="68"/>
      <c r="W30" s="71"/>
      <c r="X30" s="68"/>
      <c r="Y30" s="18"/>
      <c r="Z30" s="13"/>
      <c r="AA30" s="13"/>
      <c r="AB30" s="13"/>
      <c r="AC30" s="13"/>
      <c r="AD30" s="122"/>
      <c r="AE30" s="133"/>
      <c r="AF30" s="134"/>
      <c r="AG30" s="140"/>
      <c r="AH30" s="10">
        <f t="shared" si="3"/>
        <v>819000</v>
      </c>
      <c r="AI30" s="155">
        <f t="shared" si="6"/>
        <v>68250</v>
      </c>
      <c r="AJ30" s="156">
        <f t="shared" si="7"/>
        <v>750750</v>
      </c>
      <c r="AK30" s="157">
        <f t="shared" si="8"/>
        <v>0</v>
      </c>
    </row>
    <row r="31" spans="1:37" s="40" customFormat="1" ht="22.15" customHeight="1" x14ac:dyDescent="0.2">
      <c r="A31" s="1262">
        <v>12</v>
      </c>
      <c r="B31" s="1250" t="s">
        <v>109</v>
      </c>
      <c r="C31" s="1250" t="s">
        <v>6</v>
      </c>
      <c r="D31" s="13" t="s">
        <v>108</v>
      </c>
      <c r="E31" s="13">
        <v>217</v>
      </c>
      <c r="F31" s="13">
        <v>1</v>
      </c>
      <c r="G31" s="13"/>
      <c r="H31" s="30">
        <v>65000</v>
      </c>
      <c r="I31" s="13">
        <v>1.05</v>
      </c>
      <c r="J31" s="30">
        <f t="shared" si="0"/>
        <v>68250</v>
      </c>
      <c r="K31" s="62">
        <f t="shared" si="9"/>
        <v>819000</v>
      </c>
      <c r="L31" s="65">
        <f t="shared" si="4"/>
        <v>68250</v>
      </c>
      <c r="M31" s="70">
        <f t="shared" si="2"/>
        <v>750750</v>
      </c>
      <c r="N31" s="65">
        <f t="shared" si="5"/>
        <v>0</v>
      </c>
      <c r="O31" s="14"/>
      <c r="P31" s="13"/>
      <c r="Q31" s="13"/>
      <c r="R31" s="13"/>
      <c r="S31" s="13"/>
      <c r="T31" s="11"/>
      <c r="U31" s="64"/>
      <c r="V31" s="68"/>
      <c r="W31" s="71"/>
      <c r="X31" s="68"/>
      <c r="Y31" s="18"/>
      <c r="Z31" s="13"/>
      <c r="AA31" s="13"/>
      <c r="AB31" s="13"/>
      <c r="AC31" s="13"/>
      <c r="AD31" s="122"/>
      <c r="AE31" s="133"/>
      <c r="AF31" s="134"/>
      <c r="AG31" s="140"/>
      <c r="AH31" s="10">
        <f t="shared" si="3"/>
        <v>819000</v>
      </c>
      <c r="AI31" s="155">
        <f t="shared" si="6"/>
        <v>68250</v>
      </c>
      <c r="AJ31" s="156">
        <f t="shared" si="7"/>
        <v>750750</v>
      </c>
      <c r="AK31" s="157">
        <f t="shared" si="8"/>
        <v>0</v>
      </c>
    </row>
    <row r="32" spans="1:37" s="40" customFormat="1" ht="22.15" customHeight="1" x14ac:dyDescent="0.2">
      <c r="A32" s="1262"/>
      <c r="B32" s="1250"/>
      <c r="C32" s="1250"/>
      <c r="D32" s="13" t="s">
        <v>107</v>
      </c>
      <c r="E32" s="13">
        <v>192</v>
      </c>
      <c r="F32" s="13">
        <v>1</v>
      </c>
      <c r="G32" s="13"/>
      <c r="H32" s="30">
        <v>65000</v>
      </c>
      <c r="I32" s="13">
        <v>1.05</v>
      </c>
      <c r="J32" s="30">
        <f t="shared" si="0"/>
        <v>68250</v>
      </c>
      <c r="K32" s="62">
        <f t="shared" si="9"/>
        <v>819000</v>
      </c>
      <c r="L32" s="65">
        <f t="shared" si="4"/>
        <v>68250</v>
      </c>
      <c r="M32" s="70">
        <f t="shared" si="2"/>
        <v>750750</v>
      </c>
      <c r="N32" s="65">
        <f t="shared" si="5"/>
        <v>0</v>
      </c>
      <c r="O32" s="14"/>
      <c r="P32" s="13"/>
      <c r="Q32" s="13"/>
      <c r="R32" s="13"/>
      <c r="S32" s="13"/>
      <c r="T32" s="11"/>
      <c r="U32" s="64"/>
      <c r="V32" s="68"/>
      <c r="W32" s="71"/>
      <c r="X32" s="68"/>
      <c r="Y32" s="18"/>
      <c r="Z32" s="13"/>
      <c r="AA32" s="13"/>
      <c r="AB32" s="13"/>
      <c r="AC32" s="13"/>
      <c r="AD32" s="122"/>
      <c r="AE32" s="133"/>
      <c r="AF32" s="134"/>
      <c r="AG32" s="140"/>
      <c r="AH32" s="10">
        <f t="shared" si="3"/>
        <v>819000</v>
      </c>
      <c r="AI32" s="155">
        <f t="shared" si="6"/>
        <v>68250</v>
      </c>
      <c r="AJ32" s="156">
        <f t="shared" si="7"/>
        <v>750750</v>
      </c>
      <c r="AK32" s="157">
        <f t="shared" si="8"/>
        <v>0</v>
      </c>
    </row>
    <row r="33" spans="1:37" s="40" customFormat="1" ht="47.25" x14ac:dyDescent="0.2">
      <c r="A33" s="18">
        <v>13</v>
      </c>
      <c r="B33" s="17" t="s">
        <v>106</v>
      </c>
      <c r="C33" s="17" t="s">
        <v>6</v>
      </c>
      <c r="D33" s="13" t="s">
        <v>105</v>
      </c>
      <c r="E33" s="13">
        <v>315</v>
      </c>
      <c r="F33" s="13">
        <v>1</v>
      </c>
      <c r="G33" s="13"/>
      <c r="H33" s="30">
        <v>65000</v>
      </c>
      <c r="I33" s="13">
        <v>1.05</v>
      </c>
      <c r="J33" s="30">
        <f t="shared" si="0"/>
        <v>68250</v>
      </c>
      <c r="K33" s="62">
        <f t="shared" si="9"/>
        <v>819000</v>
      </c>
      <c r="L33" s="65">
        <f t="shared" si="4"/>
        <v>68250</v>
      </c>
      <c r="M33" s="70">
        <f t="shared" si="2"/>
        <v>750750</v>
      </c>
      <c r="N33" s="65">
        <f t="shared" si="5"/>
        <v>0</v>
      </c>
      <c r="O33" s="14"/>
      <c r="P33" s="13"/>
      <c r="Q33" s="13"/>
      <c r="R33" s="13"/>
      <c r="S33" s="13"/>
      <c r="T33" s="11"/>
      <c r="U33" s="64"/>
      <c r="V33" s="68"/>
      <c r="W33" s="71"/>
      <c r="X33" s="68"/>
      <c r="Y33" s="18"/>
      <c r="Z33" s="13"/>
      <c r="AA33" s="13"/>
      <c r="AB33" s="13"/>
      <c r="AC33" s="13"/>
      <c r="AD33" s="122"/>
      <c r="AE33" s="133"/>
      <c r="AF33" s="134"/>
      <c r="AG33" s="140"/>
      <c r="AH33" s="10">
        <f t="shared" si="3"/>
        <v>819000</v>
      </c>
      <c r="AI33" s="155">
        <f t="shared" si="6"/>
        <v>68250</v>
      </c>
      <c r="AJ33" s="156">
        <f t="shared" si="7"/>
        <v>750750</v>
      </c>
      <c r="AK33" s="157">
        <f t="shared" si="8"/>
        <v>0</v>
      </c>
    </row>
    <row r="34" spans="1:37" s="40" customFormat="1" ht="47.25" x14ac:dyDescent="0.2">
      <c r="A34" s="18">
        <v>14</v>
      </c>
      <c r="B34" s="17" t="s">
        <v>104</v>
      </c>
      <c r="C34" s="17" t="s">
        <v>6</v>
      </c>
      <c r="D34" s="13" t="s">
        <v>103</v>
      </c>
      <c r="E34" s="13">
        <v>234</v>
      </c>
      <c r="F34" s="13">
        <v>1</v>
      </c>
      <c r="G34" s="13"/>
      <c r="H34" s="30">
        <v>65000</v>
      </c>
      <c r="I34" s="13">
        <v>1.05</v>
      </c>
      <c r="J34" s="30">
        <f t="shared" si="0"/>
        <v>68250</v>
      </c>
      <c r="K34" s="62">
        <f t="shared" si="9"/>
        <v>819000</v>
      </c>
      <c r="L34" s="65">
        <f t="shared" si="4"/>
        <v>68250</v>
      </c>
      <c r="M34" s="70">
        <f t="shared" si="2"/>
        <v>750750</v>
      </c>
      <c r="N34" s="65">
        <f t="shared" si="5"/>
        <v>0</v>
      </c>
      <c r="O34" s="14"/>
      <c r="P34" s="13"/>
      <c r="Q34" s="13"/>
      <c r="R34" s="13"/>
      <c r="S34" s="13"/>
      <c r="T34" s="11"/>
      <c r="U34" s="64"/>
      <c r="V34" s="68"/>
      <c r="W34" s="71"/>
      <c r="X34" s="68"/>
      <c r="Y34" s="18"/>
      <c r="Z34" s="13"/>
      <c r="AA34" s="13"/>
      <c r="AB34" s="13"/>
      <c r="AC34" s="13"/>
      <c r="AD34" s="122"/>
      <c r="AE34" s="133"/>
      <c r="AF34" s="134"/>
      <c r="AG34" s="140"/>
      <c r="AH34" s="10">
        <f t="shared" si="3"/>
        <v>819000</v>
      </c>
      <c r="AI34" s="155">
        <f t="shared" si="6"/>
        <v>68250</v>
      </c>
      <c r="AJ34" s="156">
        <f t="shared" si="7"/>
        <v>750750</v>
      </c>
      <c r="AK34" s="157">
        <f t="shared" si="8"/>
        <v>0</v>
      </c>
    </row>
    <row r="35" spans="1:37" s="40" customFormat="1" ht="47.25" x14ac:dyDescent="0.2">
      <c r="A35" s="18">
        <v>15</v>
      </c>
      <c r="B35" s="17" t="s">
        <v>102</v>
      </c>
      <c r="C35" s="17" t="s">
        <v>101</v>
      </c>
      <c r="D35" s="13" t="s">
        <v>100</v>
      </c>
      <c r="E35" s="13">
        <v>183</v>
      </c>
      <c r="F35" s="13">
        <v>1</v>
      </c>
      <c r="G35" s="13"/>
      <c r="H35" s="30">
        <v>65000</v>
      </c>
      <c r="I35" s="13">
        <v>1.05</v>
      </c>
      <c r="J35" s="30">
        <f t="shared" si="0"/>
        <v>68250</v>
      </c>
      <c r="K35" s="62">
        <f t="shared" si="9"/>
        <v>819000</v>
      </c>
      <c r="L35" s="65">
        <f t="shared" si="4"/>
        <v>68250</v>
      </c>
      <c r="M35" s="70">
        <f t="shared" si="2"/>
        <v>750750</v>
      </c>
      <c r="N35" s="65">
        <f t="shared" si="5"/>
        <v>0</v>
      </c>
      <c r="O35" s="14"/>
      <c r="P35" s="13"/>
      <c r="Q35" s="13"/>
      <c r="R35" s="13"/>
      <c r="S35" s="13"/>
      <c r="T35" s="11"/>
      <c r="U35" s="64"/>
      <c r="V35" s="68"/>
      <c r="W35" s="71"/>
      <c r="X35" s="68"/>
      <c r="Y35" s="18"/>
      <c r="Z35" s="13"/>
      <c r="AA35" s="13"/>
      <c r="AB35" s="13"/>
      <c r="AC35" s="13"/>
      <c r="AD35" s="122"/>
      <c r="AE35" s="133"/>
      <c r="AF35" s="134"/>
      <c r="AG35" s="140"/>
      <c r="AH35" s="10">
        <f t="shared" si="3"/>
        <v>819000</v>
      </c>
      <c r="AI35" s="155">
        <f t="shared" si="6"/>
        <v>68250</v>
      </c>
      <c r="AJ35" s="156">
        <f t="shared" si="7"/>
        <v>750750</v>
      </c>
      <c r="AK35" s="157">
        <f t="shared" si="8"/>
        <v>0</v>
      </c>
    </row>
    <row r="36" spans="1:37" s="40" customFormat="1" ht="47.25" x14ac:dyDescent="0.2">
      <c r="A36" s="18">
        <v>16</v>
      </c>
      <c r="B36" s="17" t="s">
        <v>99</v>
      </c>
      <c r="C36" s="17" t="s">
        <v>6</v>
      </c>
      <c r="D36" s="13" t="s">
        <v>98</v>
      </c>
      <c r="E36" s="13">
        <v>259</v>
      </c>
      <c r="F36" s="13">
        <v>1</v>
      </c>
      <c r="G36" s="13"/>
      <c r="H36" s="30">
        <v>65000</v>
      </c>
      <c r="I36" s="13">
        <v>1.05</v>
      </c>
      <c r="J36" s="30">
        <f t="shared" si="0"/>
        <v>68250</v>
      </c>
      <c r="K36" s="62">
        <f t="shared" si="9"/>
        <v>819000</v>
      </c>
      <c r="L36" s="65">
        <f t="shared" si="4"/>
        <v>68250</v>
      </c>
      <c r="M36" s="70">
        <f t="shared" si="2"/>
        <v>750750</v>
      </c>
      <c r="N36" s="65">
        <f t="shared" si="5"/>
        <v>0</v>
      </c>
      <c r="O36" s="14"/>
      <c r="P36" s="13"/>
      <c r="Q36" s="13"/>
      <c r="R36" s="13"/>
      <c r="S36" s="13"/>
      <c r="T36" s="11"/>
      <c r="U36" s="64"/>
      <c r="V36" s="68"/>
      <c r="W36" s="71"/>
      <c r="X36" s="68"/>
      <c r="Y36" s="18"/>
      <c r="Z36" s="13"/>
      <c r="AA36" s="13"/>
      <c r="AB36" s="13"/>
      <c r="AC36" s="13"/>
      <c r="AD36" s="122"/>
      <c r="AE36" s="133"/>
      <c r="AF36" s="134"/>
      <c r="AG36" s="140"/>
      <c r="AH36" s="10">
        <f t="shared" si="3"/>
        <v>819000</v>
      </c>
      <c r="AI36" s="155">
        <f t="shared" si="6"/>
        <v>68250</v>
      </c>
      <c r="AJ36" s="156">
        <f t="shared" si="7"/>
        <v>750750</v>
      </c>
      <c r="AK36" s="157">
        <f t="shared" si="8"/>
        <v>0</v>
      </c>
    </row>
    <row r="37" spans="1:37" s="40" customFormat="1" x14ac:dyDescent="0.2">
      <c r="A37" s="18">
        <v>17</v>
      </c>
      <c r="B37" s="17" t="s">
        <v>97</v>
      </c>
      <c r="C37" s="17"/>
      <c r="D37" s="32" t="s">
        <v>20</v>
      </c>
      <c r="E37" s="13">
        <v>200</v>
      </c>
      <c r="F37" s="13">
        <v>1</v>
      </c>
      <c r="G37" s="13"/>
      <c r="H37" s="30">
        <v>65000</v>
      </c>
      <c r="I37" s="13">
        <v>1.05</v>
      </c>
      <c r="J37" s="30">
        <f t="shared" si="0"/>
        <v>68250</v>
      </c>
      <c r="K37" s="62">
        <f t="shared" si="9"/>
        <v>819000</v>
      </c>
      <c r="L37" s="65">
        <f>J37</f>
        <v>68250</v>
      </c>
      <c r="M37" s="70">
        <f t="shared" si="2"/>
        <v>750750</v>
      </c>
      <c r="N37" s="65">
        <f t="shared" si="5"/>
        <v>0</v>
      </c>
      <c r="O37" s="14"/>
      <c r="P37" s="13"/>
      <c r="Q37" s="13"/>
      <c r="R37" s="13"/>
      <c r="S37" s="13"/>
      <c r="T37" s="11"/>
      <c r="U37" s="64"/>
      <c r="V37" s="68"/>
      <c r="W37" s="71"/>
      <c r="X37" s="68"/>
      <c r="Y37" s="18"/>
      <c r="Z37" s="13"/>
      <c r="AA37" s="13"/>
      <c r="AB37" s="13"/>
      <c r="AC37" s="13"/>
      <c r="AD37" s="122"/>
      <c r="AE37" s="133"/>
      <c r="AF37" s="134"/>
      <c r="AG37" s="140"/>
      <c r="AH37" s="10">
        <f t="shared" si="3"/>
        <v>819000</v>
      </c>
      <c r="AI37" s="155">
        <f t="shared" si="6"/>
        <v>68250</v>
      </c>
      <c r="AJ37" s="156">
        <f t="shared" si="7"/>
        <v>750750</v>
      </c>
      <c r="AK37" s="157">
        <f t="shared" si="8"/>
        <v>0</v>
      </c>
    </row>
    <row r="38" spans="1:37" s="82" customFormat="1" x14ac:dyDescent="0.2">
      <c r="A38" s="72"/>
      <c r="B38" s="73" t="s">
        <v>1</v>
      </c>
      <c r="C38" s="74"/>
      <c r="D38" s="75"/>
      <c r="E38" s="76">
        <f>SUM(E6:E37)</f>
        <v>6282</v>
      </c>
      <c r="F38" s="76">
        <f>SUM(F6:F37)</f>
        <v>30</v>
      </c>
      <c r="G38" s="76">
        <f>SUM(G6:G37)</f>
        <v>2</v>
      </c>
      <c r="H38" s="76"/>
      <c r="I38" s="76"/>
      <c r="J38" s="76"/>
      <c r="K38" s="77">
        <f>SUM(K6:K37)</f>
        <v>25137000</v>
      </c>
      <c r="L38" s="78">
        <f>SUM(L6:L37)</f>
        <v>2094750</v>
      </c>
      <c r="M38" s="78">
        <f>SUM(M6:M37)</f>
        <v>23042250</v>
      </c>
      <c r="N38" s="111">
        <f t="shared" si="5"/>
        <v>0</v>
      </c>
      <c r="O38" s="80"/>
      <c r="P38" s="76"/>
      <c r="Q38" s="76"/>
      <c r="R38" s="76"/>
      <c r="S38" s="76"/>
      <c r="T38" s="76"/>
      <c r="U38" s="77"/>
      <c r="V38" s="108"/>
      <c r="W38" s="108"/>
      <c r="X38" s="108"/>
      <c r="Y38" s="80"/>
      <c r="Z38" s="76"/>
      <c r="AA38" s="76"/>
      <c r="AB38" s="76"/>
      <c r="AC38" s="76"/>
      <c r="AD38" s="77"/>
      <c r="AE38" s="108"/>
      <c r="AF38" s="70"/>
      <c r="AG38" s="113"/>
      <c r="AH38" s="81">
        <f>SUM(AH6:AH37)</f>
        <v>25137000</v>
      </c>
      <c r="AI38" s="79">
        <f>SUM(AI6:AI37)</f>
        <v>2094750</v>
      </c>
      <c r="AJ38" s="150">
        <f>SUM(AJ6:AJ37)</f>
        <v>23042250</v>
      </c>
      <c r="AK38" s="79">
        <f>SUM(AK6:AK37)</f>
        <v>0</v>
      </c>
    </row>
    <row r="39" spans="1:37" s="21" customFormat="1" x14ac:dyDescent="0.2">
      <c r="A39" s="58" t="s">
        <v>96</v>
      </c>
      <c r="B39" s="39"/>
      <c r="C39" s="38"/>
      <c r="D39" s="33"/>
      <c r="E39" s="33"/>
      <c r="F39" s="33"/>
      <c r="G39" s="33"/>
      <c r="H39" s="26"/>
      <c r="I39" s="13"/>
      <c r="J39" s="26"/>
      <c r="K39" s="63"/>
      <c r="L39" s="67"/>
      <c r="M39" s="70"/>
      <c r="N39" s="65"/>
      <c r="O39" s="25"/>
      <c r="P39" s="13"/>
      <c r="Q39" s="13"/>
      <c r="R39" s="13"/>
      <c r="S39" s="13"/>
      <c r="T39" s="11"/>
      <c r="U39" s="102"/>
      <c r="V39" s="109"/>
      <c r="W39" s="110"/>
      <c r="X39" s="109"/>
      <c r="Y39" s="24"/>
      <c r="Z39" s="23"/>
      <c r="AA39" s="23"/>
      <c r="AB39" s="23"/>
      <c r="AC39" s="23"/>
      <c r="AD39" s="123"/>
      <c r="AE39" s="135"/>
      <c r="AF39" s="136"/>
      <c r="AG39" s="141"/>
      <c r="AH39" s="22"/>
      <c r="AI39" s="155"/>
      <c r="AJ39" s="156"/>
      <c r="AK39" s="157"/>
    </row>
    <row r="40" spans="1:37" s="21" customFormat="1" ht="31.5" x14ac:dyDescent="0.2">
      <c r="A40" s="18">
        <v>1</v>
      </c>
      <c r="B40" s="56" t="s">
        <v>95</v>
      </c>
      <c r="C40" s="36" t="s">
        <v>6</v>
      </c>
      <c r="D40" s="35" t="s">
        <v>94</v>
      </c>
      <c r="E40" s="34"/>
      <c r="F40" s="34"/>
      <c r="G40" s="34"/>
      <c r="H40" s="30"/>
      <c r="I40" s="13"/>
      <c r="J40" s="30"/>
      <c r="K40" s="62"/>
      <c r="L40" s="65"/>
      <c r="M40" s="70"/>
      <c r="N40" s="65"/>
      <c r="O40" s="14">
        <v>1243</v>
      </c>
      <c r="P40" s="13">
        <v>1</v>
      </c>
      <c r="Q40" s="11">
        <v>85000</v>
      </c>
      <c r="R40" s="13">
        <v>1.05</v>
      </c>
      <c r="S40" s="13">
        <v>1.1000000000000001</v>
      </c>
      <c r="T40" s="11">
        <f t="shared" ref="T40:T45" si="10">Q40*R40*S40</f>
        <v>98175.000000000015</v>
      </c>
      <c r="U40" s="64">
        <f t="shared" ref="U40:U45" si="11">T40*12</f>
        <v>1178100.0000000002</v>
      </c>
      <c r="V40" s="68">
        <f>T40</f>
        <v>98175.000000000015</v>
      </c>
      <c r="W40" s="71">
        <f>T40*11</f>
        <v>1079925.0000000002</v>
      </c>
      <c r="X40" s="68">
        <f>W40+V40-U40</f>
        <v>0</v>
      </c>
      <c r="Y40" s="24"/>
      <c r="Z40" s="23"/>
      <c r="AA40" s="23"/>
      <c r="AB40" s="23"/>
      <c r="AC40" s="23"/>
      <c r="AD40" s="123"/>
      <c r="AE40" s="135"/>
      <c r="AF40" s="136"/>
      <c r="AG40" s="141"/>
      <c r="AH40" s="10">
        <f t="shared" ref="AH40:AH71" si="12">K40+U40+AD40</f>
        <v>1178100.0000000002</v>
      </c>
      <c r="AI40" s="155">
        <f>T40+J40+AC40</f>
        <v>98175.000000000015</v>
      </c>
      <c r="AJ40" s="156">
        <f>AI40*11</f>
        <v>1079925.0000000002</v>
      </c>
      <c r="AK40" s="157">
        <f t="shared" si="8"/>
        <v>0</v>
      </c>
    </row>
    <row r="41" spans="1:37" s="21" customFormat="1" ht="31.5" x14ac:dyDescent="0.2">
      <c r="A41" s="18">
        <v>2</v>
      </c>
      <c r="B41" s="56" t="s">
        <v>93</v>
      </c>
      <c r="C41" s="36" t="s">
        <v>6</v>
      </c>
      <c r="D41" s="35" t="s">
        <v>92</v>
      </c>
      <c r="E41" s="34"/>
      <c r="F41" s="34"/>
      <c r="G41" s="34"/>
      <c r="H41" s="30"/>
      <c r="I41" s="13"/>
      <c r="J41" s="30"/>
      <c r="K41" s="62"/>
      <c r="L41" s="65"/>
      <c r="M41" s="70"/>
      <c r="N41" s="65"/>
      <c r="O41" s="14">
        <v>916</v>
      </c>
      <c r="P41" s="37">
        <v>1</v>
      </c>
      <c r="Q41" s="11">
        <v>80000</v>
      </c>
      <c r="R41" s="37">
        <v>1.05</v>
      </c>
      <c r="S41" s="37">
        <v>1</v>
      </c>
      <c r="T41" s="11">
        <f t="shared" si="10"/>
        <v>84000</v>
      </c>
      <c r="U41" s="64">
        <f t="shared" si="11"/>
        <v>1008000</v>
      </c>
      <c r="V41" s="68">
        <f t="shared" ref="V41:V95" si="13">T41</f>
        <v>84000</v>
      </c>
      <c r="W41" s="71">
        <f t="shared" ref="W41:W95" si="14">T41*11</f>
        <v>924000</v>
      </c>
      <c r="X41" s="68">
        <f t="shared" ref="X41:X99" si="15">W41+V41-U41</f>
        <v>0</v>
      </c>
      <c r="Y41" s="24"/>
      <c r="Z41" s="23"/>
      <c r="AA41" s="23"/>
      <c r="AB41" s="23"/>
      <c r="AC41" s="23"/>
      <c r="AD41" s="123"/>
      <c r="AE41" s="135"/>
      <c r="AF41" s="136"/>
      <c r="AG41" s="141"/>
      <c r="AH41" s="10">
        <f t="shared" si="12"/>
        <v>1008000</v>
      </c>
      <c r="AI41" s="155">
        <f t="shared" ref="AI41:AI98" si="16">T41+J41+AC41</f>
        <v>84000</v>
      </c>
      <c r="AJ41" s="156">
        <f t="shared" ref="AJ41:AJ98" si="17">AI41*11</f>
        <v>924000</v>
      </c>
      <c r="AK41" s="157">
        <f t="shared" si="8"/>
        <v>0</v>
      </c>
    </row>
    <row r="42" spans="1:37" s="21" customFormat="1" ht="31.5" x14ac:dyDescent="0.2">
      <c r="A42" s="18">
        <v>3</v>
      </c>
      <c r="B42" s="56" t="s">
        <v>91</v>
      </c>
      <c r="C42" s="36" t="s">
        <v>6</v>
      </c>
      <c r="D42" s="35" t="s">
        <v>91</v>
      </c>
      <c r="E42" s="34"/>
      <c r="F42" s="34"/>
      <c r="G42" s="34"/>
      <c r="H42" s="30"/>
      <c r="I42" s="13"/>
      <c r="J42" s="30"/>
      <c r="K42" s="62"/>
      <c r="L42" s="65"/>
      <c r="M42" s="70"/>
      <c r="N42" s="65"/>
      <c r="O42" s="14">
        <v>1084</v>
      </c>
      <c r="P42" s="13">
        <v>1</v>
      </c>
      <c r="Q42" s="11">
        <v>85000</v>
      </c>
      <c r="R42" s="13">
        <v>1.05</v>
      </c>
      <c r="S42" s="13">
        <v>1</v>
      </c>
      <c r="T42" s="11">
        <f t="shared" si="10"/>
        <v>89250</v>
      </c>
      <c r="U42" s="64">
        <f t="shared" si="11"/>
        <v>1071000</v>
      </c>
      <c r="V42" s="68">
        <f t="shared" si="13"/>
        <v>89250</v>
      </c>
      <c r="W42" s="71">
        <f t="shared" si="14"/>
        <v>981750</v>
      </c>
      <c r="X42" s="68">
        <f t="shared" si="15"/>
        <v>0</v>
      </c>
      <c r="Y42" s="24"/>
      <c r="Z42" s="23"/>
      <c r="AA42" s="23"/>
      <c r="AB42" s="23"/>
      <c r="AC42" s="23"/>
      <c r="AD42" s="123"/>
      <c r="AE42" s="135"/>
      <c r="AF42" s="136"/>
      <c r="AG42" s="141"/>
      <c r="AH42" s="10">
        <f t="shared" si="12"/>
        <v>1071000</v>
      </c>
      <c r="AI42" s="155">
        <f t="shared" si="16"/>
        <v>89250</v>
      </c>
      <c r="AJ42" s="156">
        <f t="shared" si="17"/>
        <v>981750</v>
      </c>
      <c r="AK42" s="157">
        <f t="shared" si="8"/>
        <v>0</v>
      </c>
    </row>
    <row r="43" spans="1:37" s="21" customFormat="1" ht="31.5" x14ac:dyDescent="0.2">
      <c r="A43" s="18">
        <v>4</v>
      </c>
      <c r="B43" s="56" t="s">
        <v>90</v>
      </c>
      <c r="C43" s="36" t="s">
        <v>6</v>
      </c>
      <c r="D43" s="35" t="s">
        <v>90</v>
      </c>
      <c r="E43" s="34"/>
      <c r="F43" s="34"/>
      <c r="G43" s="34"/>
      <c r="H43" s="30"/>
      <c r="I43" s="13"/>
      <c r="J43" s="30"/>
      <c r="K43" s="62"/>
      <c r="L43" s="65"/>
      <c r="M43" s="70"/>
      <c r="N43" s="65"/>
      <c r="O43" s="14">
        <f>403+68</f>
        <v>471</v>
      </c>
      <c r="P43" s="13">
        <v>1</v>
      </c>
      <c r="Q43" s="11">
        <v>70000</v>
      </c>
      <c r="R43" s="13">
        <v>1.05</v>
      </c>
      <c r="S43" s="13">
        <v>1</v>
      </c>
      <c r="T43" s="11">
        <f t="shared" si="10"/>
        <v>73500</v>
      </c>
      <c r="U43" s="64">
        <f t="shared" si="11"/>
        <v>882000</v>
      </c>
      <c r="V43" s="68">
        <f t="shared" si="13"/>
        <v>73500</v>
      </c>
      <c r="W43" s="71">
        <f t="shared" si="14"/>
        <v>808500</v>
      </c>
      <c r="X43" s="68">
        <f t="shared" si="15"/>
        <v>0</v>
      </c>
      <c r="Y43" s="24"/>
      <c r="Z43" s="23"/>
      <c r="AA43" s="23"/>
      <c r="AB43" s="23"/>
      <c r="AC43" s="23"/>
      <c r="AD43" s="123"/>
      <c r="AE43" s="135"/>
      <c r="AF43" s="136"/>
      <c r="AG43" s="141"/>
      <c r="AH43" s="10">
        <f t="shared" si="12"/>
        <v>882000</v>
      </c>
      <c r="AI43" s="155">
        <f t="shared" si="16"/>
        <v>73500</v>
      </c>
      <c r="AJ43" s="156">
        <f t="shared" si="17"/>
        <v>808500</v>
      </c>
      <c r="AK43" s="157">
        <f t="shared" si="8"/>
        <v>0</v>
      </c>
    </row>
    <row r="44" spans="1:37" s="21" customFormat="1" ht="31.5" x14ac:dyDescent="0.2">
      <c r="A44" s="18">
        <v>5</v>
      </c>
      <c r="B44" s="56" t="s">
        <v>89</v>
      </c>
      <c r="C44" s="36" t="s">
        <v>6</v>
      </c>
      <c r="D44" s="35" t="s">
        <v>88</v>
      </c>
      <c r="E44" s="34"/>
      <c r="F44" s="34"/>
      <c r="G44" s="34"/>
      <c r="H44" s="30"/>
      <c r="I44" s="13"/>
      <c r="J44" s="30"/>
      <c r="K44" s="62"/>
      <c r="L44" s="65"/>
      <c r="M44" s="70"/>
      <c r="N44" s="65"/>
      <c r="O44" s="14">
        <v>1077</v>
      </c>
      <c r="P44" s="13">
        <v>1</v>
      </c>
      <c r="Q44" s="11">
        <v>85000</v>
      </c>
      <c r="R44" s="13">
        <v>1.05</v>
      </c>
      <c r="S44" s="13">
        <v>1.1000000000000001</v>
      </c>
      <c r="T44" s="11">
        <f t="shared" si="10"/>
        <v>98175.000000000015</v>
      </c>
      <c r="U44" s="64">
        <f t="shared" si="11"/>
        <v>1178100.0000000002</v>
      </c>
      <c r="V44" s="68">
        <f t="shared" si="13"/>
        <v>98175.000000000015</v>
      </c>
      <c r="W44" s="71">
        <f t="shared" si="14"/>
        <v>1079925.0000000002</v>
      </c>
      <c r="X44" s="68">
        <f t="shared" si="15"/>
        <v>0</v>
      </c>
      <c r="Y44" s="24"/>
      <c r="Z44" s="23"/>
      <c r="AA44" s="23"/>
      <c r="AB44" s="23"/>
      <c r="AC44" s="23"/>
      <c r="AD44" s="123"/>
      <c r="AE44" s="135"/>
      <c r="AF44" s="136"/>
      <c r="AG44" s="141"/>
      <c r="AH44" s="10">
        <f t="shared" si="12"/>
        <v>1178100.0000000002</v>
      </c>
      <c r="AI44" s="155">
        <f t="shared" si="16"/>
        <v>98175.000000000015</v>
      </c>
      <c r="AJ44" s="156">
        <f t="shared" si="17"/>
        <v>1079925.0000000002</v>
      </c>
      <c r="AK44" s="157">
        <f t="shared" si="8"/>
        <v>0</v>
      </c>
    </row>
    <row r="45" spans="1:37" s="21" customFormat="1" x14ac:dyDescent="0.2">
      <c r="A45" s="1278">
        <v>6</v>
      </c>
      <c r="B45" s="1244" t="s">
        <v>87</v>
      </c>
      <c r="C45" s="1244" t="s">
        <v>6</v>
      </c>
      <c r="D45" s="35" t="s">
        <v>86</v>
      </c>
      <c r="E45" s="34"/>
      <c r="F45" s="34"/>
      <c r="G45" s="34"/>
      <c r="H45" s="30"/>
      <c r="I45" s="13"/>
      <c r="J45" s="30"/>
      <c r="K45" s="62"/>
      <c r="L45" s="65"/>
      <c r="M45" s="70"/>
      <c r="N45" s="65"/>
      <c r="O45" s="14">
        <v>974</v>
      </c>
      <c r="P45" s="13">
        <v>1</v>
      </c>
      <c r="Q45" s="11">
        <v>80000</v>
      </c>
      <c r="R45" s="13">
        <v>1.05</v>
      </c>
      <c r="S45" s="13">
        <v>1</v>
      </c>
      <c r="T45" s="11">
        <f t="shared" si="10"/>
        <v>84000</v>
      </c>
      <c r="U45" s="64">
        <f t="shared" si="11"/>
        <v>1008000</v>
      </c>
      <c r="V45" s="68">
        <f t="shared" si="13"/>
        <v>84000</v>
      </c>
      <c r="W45" s="71">
        <f t="shared" si="14"/>
        <v>924000</v>
      </c>
      <c r="X45" s="68">
        <f t="shared" si="15"/>
        <v>0</v>
      </c>
      <c r="Y45" s="24"/>
      <c r="Z45" s="23"/>
      <c r="AA45" s="23"/>
      <c r="AB45" s="23"/>
      <c r="AC45" s="23"/>
      <c r="AD45" s="123"/>
      <c r="AE45" s="135"/>
      <c r="AF45" s="136"/>
      <c r="AG45" s="141"/>
      <c r="AH45" s="10">
        <f t="shared" si="12"/>
        <v>1008000</v>
      </c>
      <c r="AI45" s="155">
        <f t="shared" si="16"/>
        <v>84000</v>
      </c>
      <c r="AJ45" s="156">
        <f t="shared" si="17"/>
        <v>924000</v>
      </c>
      <c r="AK45" s="157">
        <f t="shared" si="8"/>
        <v>0</v>
      </c>
    </row>
    <row r="46" spans="1:37" s="21" customFormat="1" x14ac:dyDescent="0.2">
      <c r="A46" s="1280"/>
      <c r="B46" s="1245"/>
      <c r="C46" s="1245"/>
      <c r="D46" s="35" t="s">
        <v>85</v>
      </c>
      <c r="E46" s="34">
        <v>216</v>
      </c>
      <c r="F46" s="34">
        <v>1</v>
      </c>
      <c r="G46" s="34"/>
      <c r="H46" s="30">
        <v>65000</v>
      </c>
      <c r="I46" s="13">
        <v>1.05</v>
      </c>
      <c r="J46" s="30">
        <f>H46*I46</f>
        <v>68250</v>
      </c>
      <c r="K46" s="62">
        <f>J46*F46*12</f>
        <v>819000</v>
      </c>
      <c r="L46" s="65">
        <f>J46</f>
        <v>68250</v>
      </c>
      <c r="M46" s="70">
        <f t="shared" ref="M46" si="18">J46*11</f>
        <v>750750</v>
      </c>
      <c r="N46" s="65">
        <f t="shared" si="5"/>
        <v>0</v>
      </c>
      <c r="O46" s="14"/>
      <c r="P46" s="13"/>
      <c r="Q46" s="11"/>
      <c r="R46" s="13"/>
      <c r="S46" s="13"/>
      <c r="T46" s="11"/>
      <c r="U46" s="64"/>
      <c r="V46" s="68"/>
      <c r="W46" s="71"/>
      <c r="X46" s="68"/>
      <c r="Y46" s="24"/>
      <c r="Z46" s="23"/>
      <c r="AA46" s="23"/>
      <c r="AB46" s="23"/>
      <c r="AC46" s="23"/>
      <c r="AD46" s="123"/>
      <c r="AE46" s="135"/>
      <c r="AF46" s="136"/>
      <c r="AG46" s="141"/>
      <c r="AH46" s="10">
        <f t="shared" si="12"/>
        <v>819000</v>
      </c>
      <c r="AI46" s="155">
        <f t="shared" si="16"/>
        <v>68250</v>
      </c>
      <c r="AJ46" s="156">
        <f t="shared" si="17"/>
        <v>750750</v>
      </c>
      <c r="AK46" s="157">
        <f t="shared" si="8"/>
        <v>0</v>
      </c>
    </row>
    <row r="47" spans="1:37" s="21" customFormat="1" x14ac:dyDescent="0.2">
      <c r="A47" s="1278">
        <v>7</v>
      </c>
      <c r="B47" s="1244" t="s">
        <v>84</v>
      </c>
      <c r="C47" s="1244" t="s">
        <v>6</v>
      </c>
      <c r="D47" s="35" t="s">
        <v>83</v>
      </c>
      <c r="E47" s="34"/>
      <c r="F47" s="34"/>
      <c r="G47" s="34"/>
      <c r="H47" s="30"/>
      <c r="I47" s="13"/>
      <c r="J47" s="30"/>
      <c r="K47" s="62"/>
      <c r="L47" s="65"/>
      <c r="M47" s="70"/>
      <c r="N47" s="65"/>
      <c r="O47" s="14">
        <v>418</v>
      </c>
      <c r="P47" s="13">
        <v>1</v>
      </c>
      <c r="Q47" s="11">
        <v>70000</v>
      </c>
      <c r="R47" s="13">
        <v>1.05</v>
      </c>
      <c r="S47" s="13">
        <v>1</v>
      </c>
      <c r="T47" s="11">
        <f>Q47*R47*S47</f>
        <v>73500</v>
      </c>
      <c r="U47" s="64">
        <f>T47*12</f>
        <v>882000</v>
      </c>
      <c r="V47" s="68">
        <f t="shared" si="13"/>
        <v>73500</v>
      </c>
      <c r="W47" s="71">
        <f t="shared" si="14"/>
        <v>808500</v>
      </c>
      <c r="X47" s="68">
        <f t="shared" si="15"/>
        <v>0</v>
      </c>
      <c r="Y47" s="24"/>
      <c r="Z47" s="23"/>
      <c r="AA47" s="23"/>
      <c r="AB47" s="23"/>
      <c r="AC47" s="23"/>
      <c r="AD47" s="123"/>
      <c r="AE47" s="135"/>
      <c r="AF47" s="136"/>
      <c r="AG47" s="141"/>
      <c r="AH47" s="10">
        <f t="shared" si="12"/>
        <v>882000</v>
      </c>
      <c r="AI47" s="155">
        <f t="shared" si="16"/>
        <v>73500</v>
      </c>
      <c r="AJ47" s="156">
        <f t="shared" si="17"/>
        <v>808500</v>
      </c>
      <c r="AK47" s="157">
        <f t="shared" si="8"/>
        <v>0</v>
      </c>
    </row>
    <row r="48" spans="1:37" s="21" customFormat="1" x14ac:dyDescent="0.2">
      <c r="A48" s="1279"/>
      <c r="B48" s="1273"/>
      <c r="C48" s="1273"/>
      <c r="D48" s="35" t="s">
        <v>82</v>
      </c>
      <c r="E48" s="34"/>
      <c r="F48" s="34"/>
      <c r="G48" s="34"/>
      <c r="H48" s="30"/>
      <c r="I48" s="13"/>
      <c r="J48" s="30"/>
      <c r="K48" s="62"/>
      <c r="L48" s="65"/>
      <c r="M48" s="70"/>
      <c r="N48" s="65"/>
      <c r="O48" s="14">
        <v>528</v>
      </c>
      <c r="P48" s="13">
        <v>1</v>
      </c>
      <c r="Q48" s="11">
        <v>75000</v>
      </c>
      <c r="R48" s="13">
        <v>1.05</v>
      </c>
      <c r="S48" s="13">
        <v>1.1000000000000001</v>
      </c>
      <c r="T48" s="11">
        <f>Q48*R48*S48</f>
        <v>86625</v>
      </c>
      <c r="U48" s="64">
        <f>T48*12</f>
        <v>1039500</v>
      </c>
      <c r="V48" s="68">
        <f t="shared" si="13"/>
        <v>86625</v>
      </c>
      <c r="W48" s="71">
        <f t="shared" si="14"/>
        <v>952875</v>
      </c>
      <c r="X48" s="68">
        <f t="shared" si="15"/>
        <v>0</v>
      </c>
      <c r="Y48" s="24"/>
      <c r="Z48" s="23"/>
      <c r="AA48" s="23"/>
      <c r="AB48" s="23"/>
      <c r="AC48" s="23"/>
      <c r="AD48" s="123"/>
      <c r="AE48" s="135"/>
      <c r="AF48" s="136"/>
      <c r="AG48" s="141"/>
      <c r="AH48" s="10">
        <f t="shared" si="12"/>
        <v>1039500</v>
      </c>
      <c r="AI48" s="155">
        <f t="shared" si="16"/>
        <v>86625</v>
      </c>
      <c r="AJ48" s="156">
        <f t="shared" si="17"/>
        <v>952875</v>
      </c>
      <c r="AK48" s="157">
        <f t="shared" si="8"/>
        <v>0</v>
      </c>
    </row>
    <row r="49" spans="1:37" s="21" customFormat="1" x14ac:dyDescent="0.2">
      <c r="A49" s="1280"/>
      <c r="B49" s="1245"/>
      <c r="C49" s="1245"/>
      <c r="D49" s="35" t="s">
        <v>81</v>
      </c>
      <c r="E49" s="34"/>
      <c r="F49" s="34"/>
      <c r="G49" s="34"/>
      <c r="H49" s="30"/>
      <c r="I49" s="13"/>
      <c r="J49" s="30"/>
      <c r="K49" s="62"/>
      <c r="L49" s="65"/>
      <c r="M49" s="70"/>
      <c r="N49" s="65"/>
      <c r="O49" s="14">
        <v>252</v>
      </c>
      <c r="P49" s="13">
        <v>1</v>
      </c>
      <c r="Q49" s="11">
        <v>60000</v>
      </c>
      <c r="R49" s="13">
        <v>1.05</v>
      </c>
      <c r="S49" s="13">
        <v>1</v>
      </c>
      <c r="T49" s="11">
        <f>Q49*R49*S49</f>
        <v>63000</v>
      </c>
      <c r="U49" s="64">
        <f>T49*12</f>
        <v>756000</v>
      </c>
      <c r="V49" s="68">
        <f t="shared" si="13"/>
        <v>63000</v>
      </c>
      <c r="W49" s="71">
        <f t="shared" si="14"/>
        <v>693000</v>
      </c>
      <c r="X49" s="68">
        <f t="shared" si="15"/>
        <v>0</v>
      </c>
      <c r="Y49" s="24"/>
      <c r="Z49" s="23"/>
      <c r="AA49" s="23"/>
      <c r="AB49" s="23"/>
      <c r="AC49" s="23"/>
      <c r="AD49" s="123"/>
      <c r="AE49" s="135"/>
      <c r="AF49" s="136"/>
      <c r="AG49" s="141"/>
      <c r="AH49" s="10">
        <f t="shared" si="12"/>
        <v>756000</v>
      </c>
      <c r="AI49" s="155">
        <f t="shared" si="16"/>
        <v>63000</v>
      </c>
      <c r="AJ49" s="156">
        <f t="shared" si="17"/>
        <v>693000</v>
      </c>
      <c r="AK49" s="157">
        <f t="shared" si="8"/>
        <v>0</v>
      </c>
    </row>
    <row r="50" spans="1:37" s="21" customFormat="1" x14ac:dyDescent="0.2">
      <c r="A50" s="1278">
        <v>8</v>
      </c>
      <c r="B50" s="1244" t="s">
        <v>80</v>
      </c>
      <c r="C50" s="1244" t="s">
        <v>6</v>
      </c>
      <c r="D50" s="35" t="s">
        <v>79</v>
      </c>
      <c r="E50" s="34"/>
      <c r="F50" s="34"/>
      <c r="G50" s="34"/>
      <c r="H50" s="30"/>
      <c r="I50" s="13"/>
      <c r="J50" s="30"/>
      <c r="K50" s="62"/>
      <c r="L50" s="65"/>
      <c r="M50" s="70"/>
      <c r="N50" s="65"/>
      <c r="O50" s="14">
        <v>1063</v>
      </c>
      <c r="P50" s="13">
        <v>1</v>
      </c>
      <c r="Q50" s="11">
        <v>85000</v>
      </c>
      <c r="R50" s="13">
        <v>1.05</v>
      </c>
      <c r="S50" s="13">
        <v>1</v>
      </c>
      <c r="T50" s="11">
        <f>Q50*R50*S50</f>
        <v>89250</v>
      </c>
      <c r="U50" s="64">
        <f>T50*12</f>
        <v>1071000</v>
      </c>
      <c r="V50" s="68">
        <f t="shared" si="13"/>
        <v>89250</v>
      </c>
      <c r="W50" s="71">
        <f t="shared" si="14"/>
        <v>981750</v>
      </c>
      <c r="X50" s="68">
        <f t="shared" si="15"/>
        <v>0</v>
      </c>
      <c r="Y50" s="24"/>
      <c r="Z50" s="23"/>
      <c r="AA50" s="23"/>
      <c r="AB50" s="23"/>
      <c r="AC50" s="23"/>
      <c r="AD50" s="123"/>
      <c r="AE50" s="135"/>
      <c r="AF50" s="136"/>
      <c r="AG50" s="141"/>
      <c r="AH50" s="10">
        <f t="shared" si="12"/>
        <v>1071000</v>
      </c>
      <c r="AI50" s="155">
        <f t="shared" si="16"/>
        <v>89250</v>
      </c>
      <c r="AJ50" s="156">
        <f t="shared" si="17"/>
        <v>981750</v>
      </c>
      <c r="AK50" s="157">
        <f t="shared" si="8"/>
        <v>0</v>
      </c>
    </row>
    <row r="51" spans="1:37" s="21" customFormat="1" x14ac:dyDescent="0.2">
      <c r="A51" s="1280"/>
      <c r="B51" s="1245"/>
      <c r="C51" s="1245"/>
      <c r="D51" s="35" t="s">
        <v>78</v>
      </c>
      <c r="E51" s="34">
        <v>422</v>
      </c>
      <c r="F51" s="34">
        <v>1</v>
      </c>
      <c r="G51" s="34"/>
      <c r="H51" s="30">
        <v>65000</v>
      </c>
      <c r="I51" s="13">
        <v>1.05</v>
      </c>
      <c r="J51" s="30">
        <f>H51*I51</f>
        <v>68250</v>
      </c>
      <c r="K51" s="62">
        <f>J51*F51*12</f>
        <v>819000</v>
      </c>
      <c r="L51" s="65">
        <f t="shared" ref="L51:L98" si="19">J51</f>
        <v>68250</v>
      </c>
      <c r="M51" s="70">
        <f t="shared" ref="M51" si="20">J51*11</f>
        <v>750750</v>
      </c>
      <c r="N51" s="65">
        <f t="shared" si="5"/>
        <v>0</v>
      </c>
      <c r="O51" s="14"/>
      <c r="P51" s="13"/>
      <c r="Q51" s="11"/>
      <c r="R51" s="13"/>
      <c r="S51" s="13"/>
      <c r="T51" s="11"/>
      <c r="U51" s="64"/>
      <c r="V51" s="68"/>
      <c r="W51" s="71"/>
      <c r="X51" s="68"/>
      <c r="Y51" s="24"/>
      <c r="Z51" s="23"/>
      <c r="AA51" s="23"/>
      <c r="AB51" s="23"/>
      <c r="AC51" s="23"/>
      <c r="AD51" s="123"/>
      <c r="AE51" s="135"/>
      <c r="AF51" s="136"/>
      <c r="AG51" s="141"/>
      <c r="AH51" s="10">
        <f t="shared" si="12"/>
        <v>819000</v>
      </c>
      <c r="AI51" s="155">
        <f t="shared" si="16"/>
        <v>68250</v>
      </c>
      <c r="AJ51" s="156">
        <f t="shared" si="17"/>
        <v>750750</v>
      </c>
      <c r="AK51" s="157">
        <f t="shared" si="8"/>
        <v>0</v>
      </c>
    </row>
    <row r="52" spans="1:37" s="21" customFormat="1" ht="31.5" x14ac:dyDescent="0.2">
      <c r="A52" s="18">
        <v>9</v>
      </c>
      <c r="B52" s="56" t="s">
        <v>77</v>
      </c>
      <c r="C52" s="36" t="s">
        <v>6</v>
      </c>
      <c r="D52" s="35" t="s">
        <v>174</v>
      </c>
      <c r="E52" s="34"/>
      <c r="F52" s="34"/>
      <c r="G52" s="34"/>
      <c r="H52" s="30"/>
      <c r="I52" s="13"/>
      <c r="J52" s="30"/>
      <c r="K52" s="62"/>
      <c r="L52" s="65"/>
      <c r="M52" s="70"/>
      <c r="N52" s="65"/>
      <c r="O52" s="14">
        <v>1212</v>
      </c>
      <c r="P52" s="13">
        <v>1</v>
      </c>
      <c r="Q52" s="11">
        <v>85000</v>
      </c>
      <c r="R52" s="13">
        <v>1.05</v>
      </c>
      <c r="S52" s="13">
        <v>1</v>
      </c>
      <c r="T52" s="11">
        <f>Q52*R52*S52</f>
        <v>89250</v>
      </c>
      <c r="U52" s="64">
        <f>T52*12</f>
        <v>1071000</v>
      </c>
      <c r="V52" s="68">
        <f t="shared" si="13"/>
        <v>89250</v>
      </c>
      <c r="W52" s="71">
        <f t="shared" si="14"/>
        <v>981750</v>
      </c>
      <c r="X52" s="68">
        <f t="shared" si="15"/>
        <v>0</v>
      </c>
      <c r="Y52" s="24"/>
      <c r="Z52" s="23"/>
      <c r="AA52" s="23"/>
      <c r="AB52" s="23"/>
      <c r="AC52" s="23"/>
      <c r="AD52" s="123"/>
      <c r="AE52" s="135"/>
      <c r="AF52" s="136"/>
      <c r="AG52" s="141"/>
      <c r="AH52" s="10">
        <f t="shared" si="12"/>
        <v>1071000</v>
      </c>
      <c r="AI52" s="155">
        <f t="shared" si="16"/>
        <v>89250</v>
      </c>
      <c r="AJ52" s="156">
        <f t="shared" si="17"/>
        <v>981750</v>
      </c>
      <c r="AK52" s="157">
        <f t="shared" si="8"/>
        <v>0</v>
      </c>
    </row>
    <row r="53" spans="1:37" s="21" customFormat="1" ht="31.5" x14ac:dyDescent="0.2">
      <c r="A53" s="18">
        <v>10</v>
      </c>
      <c r="B53" s="56" t="s">
        <v>76</v>
      </c>
      <c r="C53" s="36" t="s">
        <v>6</v>
      </c>
      <c r="D53" s="35" t="s">
        <v>175</v>
      </c>
      <c r="E53" s="34"/>
      <c r="F53" s="34"/>
      <c r="G53" s="34"/>
      <c r="H53" s="30"/>
      <c r="I53" s="13"/>
      <c r="J53" s="30"/>
      <c r="K53" s="62"/>
      <c r="L53" s="65"/>
      <c r="M53" s="70"/>
      <c r="N53" s="65"/>
      <c r="O53" s="14">
        <v>700</v>
      </c>
      <c r="P53" s="13">
        <v>1</v>
      </c>
      <c r="Q53" s="11">
        <v>80000</v>
      </c>
      <c r="R53" s="13">
        <v>1.05</v>
      </c>
      <c r="S53" s="13">
        <v>1</v>
      </c>
      <c r="T53" s="11">
        <f>Q53*R53*S53</f>
        <v>84000</v>
      </c>
      <c r="U53" s="64">
        <f>T53*12</f>
        <v>1008000</v>
      </c>
      <c r="V53" s="68">
        <f t="shared" si="13"/>
        <v>84000</v>
      </c>
      <c r="W53" s="71">
        <f t="shared" si="14"/>
        <v>924000</v>
      </c>
      <c r="X53" s="68">
        <f t="shared" si="15"/>
        <v>0</v>
      </c>
      <c r="Y53" s="24"/>
      <c r="Z53" s="23"/>
      <c r="AA53" s="23"/>
      <c r="AB53" s="23"/>
      <c r="AC53" s="23"/>
      <c r="AD53" s="123"/>
      <c r="AE53" s="135"/>
      <c r="AF53" s="136"/>
      <c r="AG53" s="141"/>
      <c r="AH53" s="10">
        <f t="shared" si="12"/>
        <v>1008000</v>
      </c>
      <c r="AI53" s="155">
        <f t="shared" si="16"/>
        <v>84000</v>
      </c>
      <c r="AJ53" s="156">
        <f t="shared" si="17"/>
        <v>924000</v>
      </c>
      <c r="AK53" s="157">
        <f t="shared" si="8"/>
        <v>0</v>
      </c>
    </row>
    <row r="54" spans="1:37" s="21" customFormat="1" x14ac:dyDescent="0.2">
      <c r="A54" s="1290">
        <v>11</v>
      </c>
      <c r="B54" s="1259" t="s">
        <v>75</v>
      </c>
      <c r="C54" s="1259" t="s">
        <v>6</v>
      </c>
      <c r="D54" s="35" t="s">
        <v>74</v>
      </c>
      <c r="E54" s="34"/>
      <c r="F54" s="34"/>
      <c r="G54" s="34"/>
      <c r="H54" s="30"/>
      <c r="I54" s="13"/>
      <c r="J54" s="30"/>
      <c r="K54" s="62"/>
      <c r="L54" s="65"/>
      <c r="M54" s="70"/>
      <c r="N54" s="65"/>
      <c r="O54" s="14">
        <v>457</v>
      </c>
      <c r="P54" s="13">
        <v>1</v>
      </c>
      <c r="Q54" s="11">
        <v>70000</v>
      </c>
      <c r="R54" s="13">
        <v>1.05</v>
      </c>
      <c r="S54" s="13">
        <v>1.1000000000000001</v>
      </c>
      <c r="T54" s="11">
        <f>Q54*R54*S54</f>
        <v>80850</v>
      </c>
      <c r="U54" s="64">
        <f>T54*12</f>
        <v>970200</v>
      </c>
      <c r="V54" s="68">
        <f t="shared" si="13"/>
        <v>80850</v>
      </c>
      <c r="W54" s="71">
        <f t="shared" si="14"/>
        <v>889350</v>
      </c>
      <c r="X54" s="68">
        <f t="shared" si="15"/>
        <v>0</v>
      </c>
      <c r="Y54" s="24"/>
      <c r="Z54" s="23"/>
      <c r="AA54" s="23"/>
      <c r="AB54" s="23"/>
      <c r="AC54" s="23"/>
      <c r="AD54" s="123"/>
      <c r="AE54" s="135"/>
      <c r="AF54" s="136"/>
      <c r="AG54" s="141"/>
      <c r="AH54" s="10">
        <f t="shared" si="12"/>
        <v>970200</v>
      </c>
      <c r="AI54" s="155">
        <f t="shared" si="16"/>
        <v>80850</v>
      </c>
      <c r="AJ54" s="156">
        <f t="shared" si="17"/>
        <v>889350</v>
      </c>
      <c r="AK54" s="157">
        <f t="shared" si="8"/>
        <v>0</v>
      </c>
    </row>
    <row r="55" spans="1:37" s="21" customFormat="1" x14ac:dyDescent="0.2">
      <c r="A55" s="1290"/>
      <c r="B55" s="1259"/>
      <c r="C55" s="1259"/>
      <c r="D55" s="35" t="s">
        <v>73</v>
      </c>
      <c r="E55" s="34">
        <v>255</v>
      </c>
      <c r="F55" s="34">
        <v>1</v>
      </c>
      <c r="G55" s="34"/>
      <c r="H55" s="30">
        <v>65000</v>
      </c>
      <c r="I55" s="13">
        <v>1.05</v>
      </c>
      <c r="J55" s="30">
        <f>H55*I55</f>
        <v>68250</v>
      </c>
      <c r="K55" s="62">
        <f>J55*F55*12</f>
        <v>819000</v>
      </c>
      <c r="L55" s="65">
        <f t="shared" si="19"/>
        <v>68250</v>
      </c>
      <c r="M55" s="70">
        <f t="shared" ref="M55" si="21">J55*11</f>
        <v>750750</v>
      </c>
      <c r="N55" s="65">
        <f t="shared" si="5"/>
        <v>0</v>
      </c>
      <c r="O55" s="14"/>
      <c r="P55" s="13"/>
      <c r="Q55" s="11"/>
      <c r="R55" s="13"/>
      <c r="S55" s="13"/>
      <c r="T55" s="11"/>
      <c r="U55" s="64"/>
      <c r="V55" s="68"/>
      <c r="W55" s="71"/>
      <c r="X55" s="68"/>
      <c r="Y55" s="24"/>
      <c r="Z55" s="23"/>
      <c r="AA55" s="23"/>
      <c r="AB55" s="23"/>
      <c r="AC55" s="23"/>
      <c r="AD55" s="123"/>
      <c r="AE55" s="135"/>
      <c r="AF55" s="136"/>
      <c r="AG55" s="141"/>
      <c r="AH55" s="10">
        <f t="shared" si="12"/>
        <v>819000</v>
      </c>
      <c r="AI55" s="155">
        <f t="shared" si="16"/>
        <v>68250</v>
      </c>
      <c r="AJ55" s="156">
        <f t="shared" si="17"/>
        <v>750750</v>
      </c>
      <c r="AK55" s="157">
        <f t="shared" si="8"/>
        <v>0</v>
      </c>
    </row>
    <row r="56" spans="1:37" s="21" customFormat="1" x14ac:dyDescent="0.2">
      <c r="A56" s="1290">
        <v>12</v>
      </c>
      <c r="B56" s="1259" t="s">
        <v>72</v>
      </c>
      <c r="C56" s="1259" t="s">
        <v>6</v>
      </c>
      <c r="D56" s="35" t="s">
        <v>71</v>
      </c>
      <c r="E56" s="34"/>
      <c r="F56" s="34"/>
      <c r="G56" s="34"/>
      <c r="H56" s="30"/>
      <c r="I56" s="13"/>
      <c r="J56" s="30"/>
      <c r="K56" s="62"/>
      <c r="L56" s="65"/>
      <c r="M56" s="70"/>
      <c r="N56" s="65"/>
      <c r="O56" s="14">
        <v>626</v>
      </c>
      <c r="P56" s="13">
        <v>1</v>
      </c>
      <c r="Q56" s="11">
        <v>80000</v>
      </c>
      <c r="R56" s="13">
        <v>1.05</v>
      </c>
      <c r="S56" s="13">
        <v>1.1000000000000001</v>
      </c>
      <c r="T56" s="11">
        <f t="shared" ref="T56:T61" si="22">Q56*R56*S56</f>
        <v>92400.000000000015</v>
      </c>
      <c r="U56" s="64">
        <f t="shared" ref="U56:U61" si="23">T56*12</f>
        <v>1108800.0000000002</v>
      </c>
      <c r="V56" s="68">
        <f t="shared" si="13"/>
        <v>92400.000000000015</v>
      </c>
      <c r="W56" s="71">
        <f t="shared" si="14"/>
        <v>1016400.0000000001</v>
      </c>
      <c r="X56" s="68">
        <f t="shared" si="15"/>
        <v>0</v>
      </c>
      <c r="Y56" s="24"/>
      <c r="Z56" s="23"/>
      <c r="AA56" s="23"/>
      <c r="AB56" s="23"/>
      <c r="AC56" s="23"/>
      <c r="AD56" s="123"/>
      <c r="AE56" s="135"/>
      <c r="AF56" s="136"/>
      <c r="AG56" s="141"/>
      <c r="AH56" s="10">
        <f t="shared" si="12"/>
        <v>1108800.0000000002</v>
      </c>
      <c r="AI56" s="155">
        <f t="shared" si="16"/>
        <v>92400.000000000015</v>
      </c>
      <c r="AJ56" s="156">
        <f t="shared" si="17"/>
        <v>1016400.0000000001</v>
      </c>
      <c r="AK56" s="157">
        <f t="shared" si="8"/>
        <v>0</v>
      </c>
    </row>
    <row r="57" spans="1:37" s="21" customFormat="1" x14ac:dyDescent="0.2">
      <c r="A57" s="1290"/>
      <c r="B57" s="1259"/>
      <c r="C57" s="1259"/>
      <c r="D57" s="35" t="s">
        <v>70</v>
      </c>
      <c r="E57" s="34"/>
      <c r="F57" s="34"/>
      <c r="G57" s="34"/>
      <c r="H57" s="30"/>
      <c r="I57" s="13"/>
      <c r="J57" s="30"/>
      <c r="K57" s="62"/>
      <c r="L57" s="65"/>
      <c r="M57" s="70"/>
      <c r="N57" s="65"/>
      <c r="O57" s="14">
        <v>458</v>
      </c>
      <c r="P57" s="13">
        <v>1</v>
      </c>
      <c r="Q57" s="11">
        <v>70000</v>
      </c>
      <c r="R57" s="13">
        <v>1.05</v>
      </c>
      <c r="S57" s="13">
        <v>1</v>
      </c>
      <c r="T57" s="11">
        <f t="shared" si="22"/>
        <v>73500</v>
      </c>
      <c r="U57" s="64">
        <f t="shared" si="23"/>
        <v>882000</v>
      </c>
      <c r="V57" s="68">
        <f t="shared" si="13"/>
        <v>73500</v>
      </c>
      <c r="W57" s="71">
        <f t="shared" si="14"/>
        <v>808500</v>
      </c>
      <c r="X57" s="68">
        <f t="shared" si="15"/>
        <v>0</v>
      </c>
      <c r="Y57" s="24"/>
      <c r="Z57" s="23"/>
      <c r="AA57" s="23"/>
      <c r="AB57" s="23"/>
      <c r="AC57" s="23"/>
      <c r="AD57" s="123"/>
      <c r="AE57" s="135"/>
      <c r="AF57" s="136"/>
      <c r="AG57" s="141"/>
      <c r="AH57" s="10">
        <f t="shared" si="12"/>
        <v>882000</v>
      </c>
      <c r="AI57" s="155">
        <f t="shared" si="16"/>
        <v>73500</v>
      </c>
      <c r="AJ57" s="156">
        <f t="shared" si="17"/>
        <v>808500</v>
      </c>
      <c r="AK57" s="157">
        <f t="shared" si="8"/>
        <v>0</v>
      </c>
    </row>
    <row r="58" spans="1:37" s="21" customFormat="1" x14ac:dyDescent="0.2">
      <c r="A58" s="1290">
        <v>13</v>
      </c>
      <c r="B58" s="1259" t="s">
        <v>69</v>
      </c>
      <c r="C58" s="1259" t="s">
        <v>6</v>
      </c>
      <c r="D58" s="13" t="s">
        <v>68</v>
      </c>
      <c r="E58" s="31"/>
      <c r="F58" s="31"/>
      <c r="G58" s="31"/>
      <c r="H58" s="50"/>
      <c r="I58" s="13"/>
      <c r="J58" s="30"/>
      <c r="K58" s="62"/>
      <c r="L58" s="65"/>
      <c r="M58" s="70"/>
      <c r="N58" s="65"/>
      <c r="O58" s="14">
        <v>385</v>
      </c>
      <c r="P58" s="13">
        <v>1</v>
      </c>
      <c r="Q58" s="11">
        <v>60000</v>
      </c>
      <c r="R58" s="13">
        <v>1.05</v>
      </c>
      <c r="S58" s="13">
        <v>1</v>
      </c>
      <c r="T58" s="11">
        <f t="shared" si="22"/>
        <v>63000</v>
      </c>
      <c r="U58" s="64">
        <f t="shared" si="23"/>
        <v>756000</v>
      </c>
      <c r="V58" s="68">
        <f t="shared" si="13"/>
        <v>63000</v>
      </c>
      <c r="W58" s="71">
        <f t="shared" si="14"/>
        <v>693000</v>
      </c>
      <c r="X58" s="68">
        <f t="shared" si="15"/>
        <v>0</v>
      </c>
      <c r="Y58" s="24"/>
      <c r="Z58" s="23"/>
      <c r="AA58" s="23"/>
      <c r="AB58" s="23"/>
      <c r="AC58" s="23"/>
      <c r="AD58" s="123"/>
      <c r="AE58" s="135"/>
      <c r="AF58" s="136"/>
      <c r="AG58" s="141"/>
      <c r="AH58" s="10">
        <f t="shared" si="12"/>
        <v>756000</v>
      </c>
      <c r="AI58" s="155">
        <f t="shared" si="16"/>
        <v>63000</v>
      </c>
      <c r="AJ58" s="156">
        <f t="shared" si="17"/>
        <v>693000</v>
      </c>
      <c r="AK58" s="157">
        <f t="shared" si="8"/>
        <v>0</v>
      </c>
    </row>
    <row r="59" spans="1:37" s="21" customFormat="1" x14ac:dyDescent="0.2">
      <c r="A59" s="1290"/>
      <c r="B59" s="1259"/>
      <c r="C59" s="1259"/>
      <c r="D59" s="13" t="s">
        <v>67</v>
      </c>
      <c r="E59" s="31"/>
      <c r="F59" s="31"/>
      <c r="G59" s="31"/>
      <c r="H59" s="50"/>
      <c r="I59" s="13"/>
      <c r="J59" s="30"/>
      <c r="K59" s="62"/>
      <c r="L59" s="65"/>
      <c r="M59" s="70"/>
      <c r="N59" s="65"/>
      <c r="O59" s="14">
        <v>560</v>
      </c>
      <c r="P59" s="13">
        <v>1</v>
      </c>
      <c r="Q59" s="11">
        <v>75000</v>
      </c>
      <c r="R59" s="13">
        <v>1.05</v>
      </c>
      <c r="S59" s="13">
        <v>1</v>
      </c>
      <c r="T59" s="11">
        <f t="shared" si="22"/>
        <v>78750</v>
      </c>
      <c r="U59" s="64">
        <f t="shared" si="23"/>
        <v>945000</v>
      </c>
      <c r="V59" s="68">
        <f t="shared" si="13"/>
        <v>78750</v>
      </c>
      <c r="W59" s="71">
        <f t="shared" si="14"/>
        <v>866250</v>
      </c>
      <c r="X59" s="68">
        <f t="shared" si="15"/>
        <v>0</v>
      </c>
      <c r="Y59" s="24"/>
      <c r="Z59" s="23"/>
      <c r="AA59" s="23"/>
      <c r="AB59" s="23"/>
      <c r="AC59" s="23"/>
      <c r="AD59" s="123"/>
      <c r="AE59" s="135"/>
      <c r="AF59" s="136"/>
      <c r="AG59" s="141"/>
      <c r="AH59" s="10">
        <f t="shared" si="12"/>
        <v>945000</v>
      </c>
      <c r="AI59" s="155">
        <f t="shared" si="16"/>
        <v>78750</v>
      </c>
      <c r="AJ59" s="156">
        <f t="shared" si="17"/>
        <v>866250</v>
      </c>
      <c r="AK59" s="157">
        <f t="shared" si="8"/>
        <v>0</v>
      </c>
    </row>
    <row r="60" spans="1:37" s="21" customFormat="1" x14ac:dyDescent="0.2">
      <c r="A60" s="1278">
        <v>14</v>
      </c>
      <c r="B60" s="1244" t="s">
        <v>66</v>
      </c>
      <c r="C60" s="1244" t="s">
        <v>6</v>
      </c>
      <c r="D60" s="13" t="s">
        <v>65</v>
      </c>
      <c r="E60" s="31"/>
      <c r="F60" s="31"/>
      <c r="G60" s="31"/>
      <c r="H60" s="50"/>
      <c r="I60" s="13"/>
      <c r="J60" s="30"/>
      <c r="K60" s="62"/>
      <c r="L60" s="65"/>
      <c r="M60" s="70"/>
      <c r="N60" s="65"/>
      <c r="O60" s="18">
        <v>351</v>
      </c>
      <c r="P60" s="13">
        <v>1</v>
      </c>
      <c r="Q60" s="11">
        <v>60000</v>
      </c>
      <c r="R60" s="13">
        <v>1.05</v>
      </c>
      <c r="S60" s="13">
        <v>1.1000000000000001</v>
      </c>
      <c r="T60" s="11">
        <f t="shared" si="22"/>
        <v>69300</v>
      </c>
      <c r="U60" s="64">
        <f t="shared" si="23"/>
        <v>831600</v>
      </c>
      <c r="V60" s="68">
        <f t="shared" si="13"/>
        <v>69300</v>
      </c>
      <c r="W60" s="71">
        <f t="shared" si="14"/>
        <v>762300</v>
      </c>
      <c r="X60" s="68">
        <f t="shared" si="15"/>
        <v>0</v>
      </c>
      <c r="Y60" s="24"/>
      <c r="Z60" s="23"/>
      <c r="AA60" s="23"/>
      <c r="AB60" s="23"/>
      <c r="AC60" s="23"/>
      <c r="AD60" s="123"/>
      <c r="AE60" s="135"/>
      <c r="AF60" s="136"/>
      <c r="AG60" s="141"/>
      <c r="AH60" s="10">
        <f t="shared" si="12"/>
        <v>831600</v>
      </c>
      <c r="AI60" s="155">
        <f t="shared" si="16"/>
        <v>69300</v>
      </c>
      <c r="AJ60" s="156">
        <f t="shared" si="17"/>
        <v>762300</v>
      </c>
      <c r="AK60" s="157">
        <f t="shared" si="8"/>
        <v>0</v>
      </c>
    </row>
    <row r="61" spans="1:37" s="21" customFormat="1" x14ac:dyDescent="0.2">
      <c r="A61" s="1279"/>
      <c r="B61" s="1273"/>
      <c r="C61" s="1273"/>
      <c r="D61" s="13" t="s">
        <v>64</v>
      </c>
      <c r="E61" s="31"/>
      <c r="F61" s="31"/>
      <c r="G61" s="31"/>
      <c r="H61" s="50"/>
      <c r="I61" s="13"/>
      <c r="J61" s="30"/>
      <c r="K61" s="62"/>
      <c r="L61" s="65"/>
      <c r="M61" s="70"/>
      <c r="N61" s="65"/>
      <c r="O61" s="18">
        <v>65</v>
      </c>
      <c r="P61" s="13">
        <v>1</v>
      </c>
      <c r="Q61" s="11">
        <v>60000</v>
      </c>
      <c r="R61" s="13">
        <v>1.05</v>
      </c>
      <c r="S61" s="13">
        <v>1</v>
      </c>
      <c r="T61" s="11">
        <f t="shared" si="22"/>
        <v>63000</v>
      </c>
      <c r="U61" s="64">
        <f t="shared" si="23"/>
        <v>756000</v>
      </c>
      <c r="V61" s="68">
        <f t="shared" si="13"/>
        <v>63000</v>
      </c>
      <c r="W61" s="71">
        <f t="shared" si="14"/>
        <v>693000</v>
      </c>
      <c r="X61" s="68">
        <f t="shared" si="15"/>
        <v>0</v>
      </c>
      <c r="Y61" s="24"/>
      <c r="Z61" s="23"/>
      <c r="AA61" s="23"/>
      <c r="AB61" s="23"/>
      <c r="AC61" s="23"/>
      <c r="AD61" s="123"/>
      <c r="AE61" s="135"/>
      <c r="AF61" s="136"/>
      <c r="AG61" s="141"/>
      <c r="AH61" s="10">
        <f t="shared" si="12"/>
        <v>756000</v>
      </c>
      <c r="AI61" s="155">
        <f t="shared" si="16"/>
        <v>63000</v>
      </c>
      <c r="AJ61" s="156">
        <f t="shared" si="17"/>
        <v>693000</v>
      </c>
      <c r="AK61" s="157">
        <f t="shared" si="8"/>
        <v>0</v>
      </c>
    </row>
    <row r="62" spans="1:37" s="21" customFormat="1" x14ac:dyDescent="0.2">
      <c r="A62" s="1279"/>
      <c r="B62" s="1273"/>
      <c r="C62" s="1273"/>
      <c r="D62" s="13" t="s">
        <v>63</v>
      </c>
      <c r="E62" s="31">
        <v>93</v>
      </c>
      <c r="F62" s="31">
        <v>1</v>
      </c>
      <c r="G62" s="31"/>
      <c r="H62" s="50">
        <v>60000</v>
      </c>
      <c r="I62" s="13">
        <v>1.05</v>
      </c>
      <c r="J62" s="30">
        <f>H62*I62</f>
        <v>63000</v>
      </c>
      <c r="K62" s="62">
        <f>J62*F62*12</f>
        <v>756000</v>
      </c>
      <c r="L62" s="65">
        <f t="shared" si="19"/>
        <v>63000</v>
      </c>
      <c r="M62" s="70">
        <f t="shared" ref="M62:M64" si="24">J62*11</f>
        <v>693000</v>
      </c>
      <c r="N62" s="65">
        <f t="shared" si="5"/>
        <v>0</v>
      </c>
      <c r="O62" s="18"/>
      <c r="P62" s="13"/>
      <c r="Q62" s="11"/>
      <c r="R62" s="13"/>
      <c r="S62" s="13"/>
      <c r="T62" s="11"/>
      <c r="U62" s="64"/>
      <c r="V62" s="68"/>
      <c r="W62" s="71"/>
      <c r="X62" s="68"/>
      <c r="Y62" s="24"/>
      <c r="Z62" s="23"/>
      <c r="AA62" s="23"/>
      <c r="AB62" s="23"/>
      <c r="AC62" s="23"/>
      <c r="AD62" s="123"/>
      <c r="AE62" s="135"/>
      <c r="AF62" s="136"/>
      <c r="AG62" s="141"/>
      <c r="AH62" s="10">
        <f t="shared" si="12"/>
        <v>756000</v>
      </c>
      <c r="AI62" s="155">
        <f t="shared" si="16"/>
        <v>63000</v>
      </c>
      <c r="AJ62" s="156">
        <f t="shared" si="17"/>
        <v>693000</v>
      </c>
      <c r="AK62" s="157">
        <f t="shared" si="8"/>
        <v>0</v>
      </c>
    </row>
    <row r="63" spans="1:37" s="21" customFormat="1" x14ac:dyDescent="0.2">
      <c r="A63" s="1279"/>
      <c r="B63" s="1273"/>
      <c r="C63" s="1273"/>
      <c r="D63" s="13" t="s">
        <v>62</v>
      </c>
      <c r="E63" s="31">
        <v>61</v>
      </c>
      <c r="F63" s="31">
        <v>1</v>
      </c>
      <c r="G63" s="31"/>
      <c r="H63" s="50">
        <v>60000</v>
      </c>
      <c r="I63" s="13">
        <v>1.05</v>
      </c>
      <c r="J63" s="30">
        <f>H63*I63</f>
        <v>63000</v>
      </c>
      <c r="K63" s="62">
        <f>J63*F63*12</f>
        <v>756000</v>
      </c>
      <c r="L63" s="65">
        <f t="shared" si="19"/>
        <v>63000</v>
      </c>
      <c r="M63" s="70">
        <f t="shared" si="24"/>
        <v>693000</v>
      </c>
      <c r="N63" s="65">
        <f t="shared" si="5"/>
        <v>0</v>
      </c>
      <c r="O63" s="18"/>
      <c r="P63" s="13"/>
      <c r="Q63" s="11"/>
      <c r="R63" s="13"/>
      <c r="S63" s="13"/>
      <c r="T63" s="11"/>
      <c r="U63" s="64"/>
      <c r="V63" s="68"/>
      <c r="W63" s="71"/>
      <c r="X63" s="68"/>
      <c r="Y63" s="24"/>
      <c r="Z63" s="23"/>
      <c r="AA63" s="23"/>
      <c r="AB63" s="23"/>
      <c r="AC63" s="23"/>
      <c r="AD63" s="123"/>
      <c r="AE63" s="135"/>
      <c r="AF63" s="136"/>
      <c r="AG63" s="141"/>
      <c r="AH63" s="10">
        <f t="shared" si="12"/>
        <v>756000</v>
      </c>
      <c r="AI63" s="155">
        <f t="shared" si="16"/>
        <v>63000</v>
      </c>
      <c r="AJ63" s="156">
        <f t="shared" si="17"/>
        <v>693000</v>
      </c>
      <c r="AK63" s="157">
        <f t="shared" si="8"/>
        <v>0</v>
      </c>
    </row>
    <row r="64" spans="1:37" s="21" customFormat="1" x14ac:dyDescent="0.2">
      <c r="A64" s="1280"/>
      <c r="B64" s="1245"/>
      <c r="C64" s="1245"/>
      <c r="D64" s="13" t="s">
        <v>61</v>
      </c>
      <c r="E64" s="31">
        <v>67</v>
      </c>
      <c r="F64" s="31">
        <v>1</v>
      </c>
      <c r="G64" s="31"/>
      <c r="H64" s="50">
        <v>60000</v>
      </c>
      <c r="I64" s="13">
        <v>1.05</v>
      </c>
      <c r="J64" s="30">
        <f>H64*I64</f>
        <v>63000</v>
      </c>
      <c r="K64" s="62">
        <f>J64*F64*12</f>
        <v>756000</v>
      </c>
      <c r="L64" s="65">
        <f t="shared" si="19"/>
        <v>63000</v>
      </c>
      <c r="M64" s="70">
        <f t="shared" si="24"/>
        <v>693000</v>
      </c>
      <c r="N64" s="65">
        <f t="shared" si="5"/>
        <v>0</v>
      </c>
      <c r="O64" s="18"/>
      <c r="P64" s="13"/>
      <c r="Q64" s="11"/>
      <c r="R64" s="13"/>
      <c r="S64" s="13"/>
      <c r="T64" s="11"/>
      <c r="U64" s="64"/>
      <c r="V64" s="68"/>
      <c r="W64" s="71"/>
      <c r="X64" s="68"/>
      <c r="Y64" s="24"/>
      <c r="Z64" s="23"/>
      <c r="AA64" s="23"/>
      <c r="AB64" s="23"/>
      <c r="AC64" s="23"/>
      <c r="AD64" s="123"/>
      <c r="AE64" s="135"/>
      <c r="AF64" s="136"/>
      <c r="AG64" s="141"/>
      <c r="AH64" s="10">
        <f t="shared" si="12"/>
        <v>756000</v>
      </c>
      <c r="AI64" s="155">
        <f t="shared" si="16"/>
        <v>63000</v>
      </c>
      <c r="AJ64" s="156">
        <f t="shared" si="17"/>
        <v>693000</v>
      </c>
      <c r="AK64" s="157">
        <f t="shared" si="8"/>
        <v>0</v>
      </c>
    </row>
    <row r="65" spans="1:37" s="21" customFormat="1" x14ac:dyDescent="0.2">
      <c r="A65" s="1278">
        <v>15</v>
      </c>
      <c r="B65" s="1244" t="s">
        <v>60</v>
      </c>
      <c r="C65" s="1244" t="s">
        <v>6</v>
      </c>
      <c r="D65" s="13" t="s">
        <v>59</v>
      </c>
      <c r="E65" s="31"/>
      <c r="F65" s="31"/>
      <c r="G65" s="31"/>
      <c r="H65" s="50"/>
      <c r="I65" s="13"/>
      <c r="J65" s="30"/>
      <c r="K65" s="62"/>
      <c r="L65" s="65"/>
      <c r="M65" s="70"/>
      <c r="N65" s="65"/>
      <c r="O65" s="14">
        <v>568</v>
      </c>
      <c r="P65" s="13">
        <v>1</v>
      </c>
      <c r="Q65" s="11">
        <v>75000</v>
      </c>
      <c r="R65" s="13">
        <v>1.05</v>
      </c>
      <c r="S65" s="13">
        <v>1.1000000000000001</v>
      </c>
      <c r="T65" s="11">
        <f>Q65*R65*S65</f>
        <v>86625</v>
      </c>
      <c r="U65" s="64">
        <f>T65*12</f>
        <v>1039500</v>
      </c>
      <c r="V65" s="68">
        <f t="shared" si="13"/>
        <v>86625</v>
      </c>
      <c r="W65" s="71">
        <f t="shared" si="14"/>
        <v>952875</v>
      </c>
      <c r="X65" s="68">
        <f t="shared" si="15"/>
        <v>0</v>
      </c>
      <c r="Y65" s="24"/>
      <c r="Z65" s="23"/>
      <c r="AA65" s="23"/>
      <c r="AB65" s="23"/>
      <c r="AC65" s="23"/>
      <c r="AD65" s="123"/>
      <c r="AE65" s="135"/>
      <c r="AF65" s="136"/>
      <c r="AG65" s="141"/>
      <c r="AH65" s="10">
        <f t="shared" si="12"/>
        <v>1039500</v>
      </c>
      <c r="AI65" s="155">
        <f t="shared" si="16"/>
        <v>86625</v>
      </c>
      <c r="AJ65" s="156">
        <f t="shared" si="17"/>
        <v>952875</v>
      </c>
      <c r="AK65" s="157">
        <f t="shared" ref="AK65:AK111" si="25">AJ65+AI65-AH65</f>
        <v>0</v>
      </c>
    </row>
    <row r="66" spans="1:37" s="21" customFormat="1" x14ac:dyDescent="0.2">
      <c r="A66" s="1279"/>
      <c r="B66" s="1273"/>
      <c r="C66" s="1273"/>
      <c r="D66" s="13" t="s">
        <v>58</v>
      </c>
      <c r="E66" s="31"/>
      <c r="F66" s="31"/>
      <c r="G66" s="31"/>
      <c r="H66" s="50"/>
      <c r="I66" s="13"/>
      <c r="J66" s="30"/>
      <c r="K66" s="62"/>
      <c r="L66" s="65"/>
      <c r="M66" s="70"/>
      <c r="N66" s="65"/>
      <c r="O66" s="14">
        <v>37</v>
      </c>
      <c r="P66" s="13">
        <v>1</v>
      </c>
      <c r="Q66" s="11">
        <v>60000</v>
      </c>
      <c r="R66" s="13">
        <v>1.05</v>
      </c>
      <c r="S66" s="13">
        <v>1</v>
      </c>
      <c r="T66" s="11">
        <f>Q66*R66*S66</f>
        <v>63000</v>
      </c>
      <c r="U66" s="64">
        <f>T66*12</f>
        <v>756000</v>
      </c>
      <c r="V66" s="68">
        <f t="shared" si="13"/>
        <v>63000</v>
      </c>
      <c r="W66" s="71">
        <f t="shared" si="14"/>
        <v>693000</v>
      </c>
      <c r="X66" s="68">
        <f t="shared" si="15"/>
        <v>0</v>
      </c>
      <c r="Y66" s="24"/>
      <c r="Z66" s="23"/>
      <c r="AA66" s="23"/>
      <c r="AB66" s="23"/>
      <c r="AC66" s="23"/>
      <c r="AD66" s="123"/>
      <c r="AE66" s="135"/>
      <c r="AF66" s="136"/>
      <c r="AG66" s="141"/>
      <c r="AH66" s="10">
        <f t="shared" si="12"/>
        <v>756000</v>
      </c>
      <c r="AI66" s="155">
        <f t="shared" si="16"/>
        <v>63000</v>
      </c>
      <c r="AJ66" s="156">
        <f t="shared" si="17"/>
        <v>693000</v>
      </c>
      <c r="AK66" s="157">
        <f t="shared" si="25"/>
        <v>0</v>
      </c>
    </row>
    <row r="67" spans="1:37" s="21" customFormat="1" x14ac:dyDescent="0.2">
      <c r="A67" s="1279"/>
      <c r="B67" s="1273"/>
      <c r="C67" s="1273"/>
      <c r="D67" s="13" t="s">
        <v>57</v>
      </c>
      <c r="E67" s="31">
        <v>315</v>
      </c>
      <c r="F67" s="31">
        <v>1</v>
      </c>
      <c r="G67" s="31"/>
      <c r="H67" s="50">
        <v>65000</v>
      </c>
      <c r="I67" s="13">
        <v>1.05</v>
      </c>
      <c r="J67" s="30">
        <f>H67*I67</f>
        <v>68250</v>
      </c>
      <c r="K67" s="62">
        <f>J67*F67*12</f>
        <v>819000</v>
      </c>
      <c r="L67" s="65">
        <f t="shared" si="19"/>
        <v>68250</v>
      </c>
      <c r="M67" s="70">
        <f t="shared" ref="M67:M68" si="26">J67*11</f>
        <v>750750</v>
      </c>
      <c r="N67" s="65">
        <f t="shared" ref="N67:N100" si="27">M67+L67-K67</f>
        <v>0</v>
      </c>
      <c r="O67" s="14"/>
      <c r="P67" s="13"/>
      <c r="Q67" s="11"/>
      <c r="R67" s="13"/>
      <c r="S67" s="13"/>
      <c r="T67" s="11"/>
      <c r="U67" s="64"/>
      <c r="V67" s="68"/>
      <c r="W67" s="71"/>
      <c r="X67" s="68"/>
      <c r="Y67" s="24"/>
      <c r="Z67" s="23"/>
      <c r="AA67" s="23"/>
      <c r="AB67" s="23"/>
      <c r="AC67" s="23"/>
      <c r="AD67" s="123"/>
      <c r="AE67" s="135"/>
      <c r="AF67" s="136"/>
      <c r="AG67" s="141"/>
      <c r="AH67" s="10">
        <f t="shared" si="12"/>
        <v>819000</v>
      </c>
      <c r="AI67" s="155">
        <f t="shared" si="16"/>
        <v>68250</v>
      </c>
      <c r="AJ67" s="156">
        <f t="shared" si="17"/>
        <v>750750</v>
      </c>
      <c r="AK67" s="157">
        <f t="shared" si="25"/>
        <v>0</v>
      </c>
    </row>
    <row r="68" spans="1:37" s="21" customFormat="1" x14ac:dyDescent="0.2">
      <c r="A68" s="1280"/>
      <c r="B68" s="1245"/>
      <c r="C68" s="1245"/>
      <c r="D68" s="13" t="s">
        <v>56</v>
      </c>
      <c r="E68" s="31">
        <v>134</v>
      </c>
      <c r="F68" s="31">
        <v>1</v>
      </c>
      <c r="G68" s="31"/>
      <c r="H68" s="50">
        <v>65000</v>
      </c>
      <c r="I68" s="13">
        <v>1.05</v>
      </c>
      <c r="J68" s="30">
        <f>H68*I68</f>
        <v>68250</v>
      </c>
      <c r="K68" s="62">
        <f>J68*F68*12</f>
        <v>819000</v>
      </c>
      <c r="L68" s="65">
        <f t="shared" si="19"/>
        <v>68250</v>
      </c>
      <c r="M68" s="70">
        <f t="shared" si="26"/>
        <v>750750</v>
      </c>
      <c r="N68" s="65">
        <f t="shared" si="27"/>
        <v>0</v>
      </c>
      <c r="O68" s="14"/>
      <c r="P68" s="13"/>
      <c r="Q68" s="11"/>
      <c r="R68" s="13"/>
      <c r="S68" s="13"/>
      <c r="T68" s="11"/>
      <c r="U68" s="64"/>
      <c r="V68" s="68"/>
      <c r="W68" s="71"/>
      <c r="X68" s="68"/>
      <c r="Y68" s="24"/>
      <c r="Z68" s="23"/>
      <c r="AA68" s="23"/>
      <c r="AB68" s="23"/>
      <c r="AC68" s="23"/>
      <c r="AD68" s="123"/>
      <c r="AE68" s="135"/>
      <c r="AF68" s="136"/>
      <c r="AG68" s="141"/>
      <c r="AH68" s="10">
        <f t="shared" si="12"/>
        <v>819000</v>
      </c>
      <c r="AI68" s="155">
        <f t="shared" si="16"/>
        <v>68250</v>
      </c>
      <c r="AJ68" s="156">
        <f t="shared" si="17"/>
        <v>750750</v>
      </c>
      <c r="AK68" s="157">
        <f t="shared" si="25"/>
        <v>0</v>
      </c>
    </row>
    <row r="69" spans="1:37" s="21" customFormat="1" x14ac:dyDescent="0.2">
      <c r="A69" s="1278">
        <v>16</v>
      </c>
      <c r="B69" s="1244" t="s">
        <v>55</v>
      </c>
      <c r="C69" s="1244" t="s">
        <v>6</v>
      </c>
      <c r="D69" s="13" t="s">
        <v>54</v>
      </c>
      <c r="E69" s="31"/>
      <c r="F69" s="31"/>
      <c r="G69" s="31"/>
      <c r="H69" s="50"/>
      <c r="I69" s="13"/>
      <c r="J69" s="30"/>
      <c r="K69" s="62"/>
      <c r="L69" s="65"/>
      <c r="M69" s="70"/>
      <c r="N69" s="65"/>
      <c r="O69" s="14">
        <v>460</v>
      </c>
      <c r="P69" s="13">
        <v>1</v>
      </c>
      <c r="Q69" s="11">
        <v>70000</v>
      </c>
      <c r="R69" s="13">
        <v>1.05</v>
      </c>
      <c r="S69" s="13">
        <v>1</v>
      </c>
      <c r="T69" s="11">
        <f>Q69*R69*S69</f>
        <v>73500</v>
      </c>
      <c r="U69" s="64">
        <f>T69*12</f>
        <v>882000</v>
      </c>
      <c r="V69" s="68">
        <f>T69</f>
        <v>73500</v>
      </c>
      <c r="W69" s="71">
        <f>T69*11</f>
        <v>808500</v>
      </c>
      <c r="X69" s="68">
        <f t="shared" si="15"/>
        <v>0</v>
      </c>
      <c r="Y69" s="24"/>
      <c r="Z69" s="23"/>
      <c r="AA69" s="23"/>
      <c r="AB69" s="23"/>
      <c r="AC69" s="23"/>
      <c r="AD69" s="123"/>
      <c r="AE69" s="135"/>
      <c r="AF69" s="136"/>
      <c r="AG69" s="141"/>
      <c r="AH69" s="10">
        <f t="shared" si="12"/>
        <v>882000</v>
      </c>
      <c r="AI69" s="155">
        <f t="shared" si="16"/>
        <v>73500</v>
      </c>
      <c r="AJ69" s="156">
        <f>T69*11</f>
        <v>808500</v>
      </c>
      <c r="AK69" s="157">
        <f t="shared" si="25"/>
        <v>0</v>
      </c>
    </row>
    <row r="70" spans="1:37" s="21" customFormat="1" x14ac:dyDescent="0.2">
      <c r="A70" s="1279"/>
      <c r="B70" s="1273"/>
      <c r="C70" s="1273"/>
      <c r="D70" s="13" t="s">
        <v>53</v>
      </c>
      <c r="E70" s="31">
        <v>257</v>
      </c>
      <c r="F70" s="31">
        <v>1</v>
      </c>
      <c r="G70" s="31"/>
      <c r="H70" s="50">
        <v>65000</v>
      </c>
      <c r="I70" s="13">
        <v>1.05</v>
      </c>
      <c r="J70" s="30">
        <f>H70*I70</f>
        <v>68250</v>
      </c>
      <c r="K70" s="62">
        <f>J70*F70*12</f>
        <v>819000</v>
      </c>
      <c r="L70" s="65">
        <f t="shared" si="19"/>
        <v>68250</v>
      </c>
      <c r="M70" s="70">
        <f t="shared" ref="M70:M71" si="28">J70*11</f>
        <v>750750</v>
      </c>
      <c r="N70" s="65">
        <f t="shared" si="27"/>
        <v>0</v>
      </c>
      <c r="O70" s="14"/>
      <c r="P70" s="13"/>
      <c r="Q70" s="11"/>
      <c r="R70" s="13"/>
      <c r="S70" s="13"/>
      <c r="T70" s="11"/>
      <c r="U70" s="64"/>
      <c r="V70" s="68"/>
      <c r="W70" s="71"/>
      <c r="X70" s="68"/>
      <c r="Y70" s="24"/>
      <c r="Z70" s="23"/>
      <c r="AA70" s="23"/>
      <c r="AB70" s="23"/>
      <c r="AC70" s="23"/>
      <c r="AD70" s="123"/>
      <c r="AE70" s="135"/>
      <c r="AF70" s="136"/>
      <c r="AG70" s="141"/>
      <c r="AH70" s="10">
        <f t="shared" si="12"/>
        <v>819000</v>
      </c>
      <c r="AI70" s="155">
        <f t="shared" si="16"/>
        <v>68250</v>
      </c>
      <c r="AJ70" s="156">
        <f t="shared" si="17"/>
        <v>750750</v>
      </c>
      <c r="AK70" s="157">
        <f t="shared" si="25"/>
        <v>0</v>
      </c>
    </row>
    <row r="71" spans="1:37" s="21" customFormat="1" x14ac:dyDescent="0.2">
      <c r="A71" s="1279"/>
      <c r="B71" s="1273"/>
      <c r="C71" s="1273"/>
      <c r="D71" s="13" t="s">
        <v>52</v>
      </c>
      <c r="E71" s="31">
        <v>97</v>
      </c>
      <c r="F71" s="31">
        <v>1</v>
      </c>
      <c r="G71" s="31"/>
      <c r="H71" s="50">
        <v>60000</v>
      </c>
      <c r="I71" s="13">
        <v>1.05</v>
      </c>
      <c r="J71" s="30">
        <f>H71*I71</f>
        <v>63000</v>
      </c>
      <c r="K71" s="62">
        <f>J71*F71*12</f>
        <v>756000</v>
      </c>
      <c r="L71" s="65">
        <f t="shared" si="19"/>
        <v>63000</v>
      </c>
      <c r="M71" s="70">
        <f t="shared" si="28"/>
        <v>693000</v>
      </c>
      <c r="N71" s="65">
        <f t="shared" si="27"/>
        <v>0</v>
      </c>
      <c r="O71" s="14"/>
      <c r="P71" s="13"/>
      <c r="Q71" s="11"/>
      <c r="R71" s="13"/>
      <c r="S71" s="13"/>
      <c r="T71" s="11"/>
      <c r="U71" s="64"/>
      <c r="V71" s="68"/>
      <c r="W71" s="71"/>
      <c r="X71" s="68"/>
      <c r="Y71" s="24"/>
      <c r="Z71" s="23"/>
      <c r="AA71" s="23"/>
      <c r="AB71" s="23"/>
      <c r="AC71" s="23"/>
      <c r="AD71" s="123"/>
      <c r="AE71" s="135"/>
      <c r="AF71" s="136"/>
      <c r="AG71" s="141"/>
      <c r="AH71" s="10">
        <f t="shared" si="12"/>
        <v>756000</v>
      </c>
      <c r="AI71" s="155">
        <f t="shared" si="16"/>
        <v>63000</v>
      </c>
      <c r="AJ71" s="156">
        <f t="shared" si="17"/>
        <v>693000</v>
      </c>
      <c r="AK71" s="157">
        <f t="shared" si="25"/>
        <v>0</v>
      </c>
    </row>
    <row r="72" spans="1:37" s="21" customFormat="1" x14ac:dyDescent="0.2">
      <c r="A72" s="1278">
        <v>17</v>
      </c>
      <c r="B72" s="1244" t="s">
        <v>51</v>
      </c>
      <c r="C72" s="1246" t="s">
        <v>6</v>
      </c>
      <c r="D72" s="13" t="s">
        <v>50</v>
      </c>
      <c r="E72" s="31"/>
      <c r="F72" s="31"/>
      <c r="G72" s="31"/>
      <c r="H72" s="50"/>
      <c r="I72" s="13"/>
      <c r="J72" s="30"/>
      <c r="K72" s="62"/>
      <c r="L72" s="65"/>
      <c r="M72" s="70"/>
      <c r="N72" s="65"/>
      <c r="O72" s="14">
        <v>837</v>
      </c>
      <c r="P72" s="13">
        <v>1</v>
      </c>
      <c r="Q72" s="11">
        <v>80000</v>
      </c>
      <c r="R72" s="13">
        <v>1.05</v>
      </c>
      <c r="S72" s="13">
        <v>1.1000000000000001</v>
      </c>
      <c r="T72" s="11">
        <f>Q72*R72*S72</f>
        <v>92400.000000000015</v>
      </c>
      <c r="U72" s="64">
        <f>T72*12</f>
        <v>1108800.0000000002</v>
      </c>
      <c r="V72" s="68">
        <f t="shared" si="13"/>
        <v>92400.000000000015</v>
      </c>
      <c r="W72" s="71">
        <f t="shared" si="14"/>
        <v>1016400.0000000001</v>
      </c>
      <c r="X72" s="68">
        <f t="shared" si="15"/>
        <v>0</v>
      </c>
      <c r="Y72" s="24"/>
      <c r="Z72" s="23"/>
      <c r="AA72" s="23"/>
      <c r="AB72" s="23"/>
      <c r="AC72" s="23"/>
      <c r="AD72" s="123"/>
      <c r="AE72" s="135"/>
      <c r="AF72" s="136"/>
      <c r="AG72" s="141"/>
      <c r="AH72" s="10">
        <f t="shared" ref="AH72:AH98" si="29">K72+U72+AD72</f>
        <v>1108800.0000000002</v>
      </c>
      <c r="AI72" s="155">
        <f t="shared" si="16"/>
        <v>92400.000000000015</v>
      </c>
      <c r="AJ72" s="156">
        <f t="shared" si="17"/>
        <v>1016400.0000000001</v>
      </c>
      <c r="AK72" s="157">
        <f t="shared" si="25"/>
        <v>0</v>
      </c>
    </row>
    <row r="73" spans="1:37" s="21" customFormat="1" x14ac:dyDescent="0.2">
      <c r="A73" s="1279"/>
      <c r="B73" s="1273"/>
      <c r="C73" s="1274"/>
      <c r="D73" s="13" t="s">
        <v>49</v>
      </c>
      <c r="E73" s="31"/>
      <c r="F73" s="31"/>
      <c r="G73" s="31"/>
      <c r="H73" s="50"/>
      <c r="I73" s="13"/>
      <c r="J73" s="30"/>
      <c r="K73" s="62"/>
      <c r="L73" s="65"/>
      <c r="M73" s="70"/>
      <c r="N73" s="65"/>
      <c r="O73" s="14">
        <v>101</v>
      </c>
      <c r="P73" s="13">
        <v>1</v>
      </c>
      <c r="Q73" s="11">
        <v>60000</v>
      </c>
      <c r="R73" s="13">
        <v>1.05</v>
      </c>
      <c r="S73" s="13">
        <v>1</v>
      </c>
      <c r="T73" s="11">
        <f>Q73*R73*S73</f>
        <v>63000</v>
      </c>
      <c r="U73" s="64">
        <f>T73*12</f>
        <v>756000</v>
      </c>
      <c r="V73" s="68">
        <f t="shared" si="13"/>
        <v>63000</v>
      </c>
      <c r="W73" s="71">
        <f t="shared" si="14"/>
        <v>693000</v>
      </c>
      <c r="X73" s="68">
        <f t="shared" si="15"/>
        <v>0</v>
      </c>
      <c r="Y73" s="24"/>
      <c r="Z73" s="23"/>
      <c r="AA73" s="23"/>
      <c r="AB73" s="23"/>
      <c r="AC73" s="23"/>
      <c r="AD73" s="123"/>
      <c r="AE73" s="135"/>
      <c r="AF73" s="136"/>
      <c r="AG73" s="141"/>
      <c r="AH73" s="10">
        <f t="shared" si="29"/>
        <v>756000</v>
      </c>
      <c r="AI73" s="155">
        <f t="shared" si="16"/>
        <v>63000</v>
      </c>
      <c r="AJ73" s="156">
        <f t="shared" si="17"/>
        <v>693000</v>
      </c>
      <c r="AK73" s="157">
        <f t="shared" si="25"/>
        <v>0</v>
      </c>
    </row>
    <row r="74" spans="1:37" s="21" customFormat="1" x14ac:dyDescent="0.2">
      <c r="A74" s="1280"/>
      <c r="B74" s="1245"/>
      <c r="C74" s="1247"/>
      <c r="D74" s="13" t="s">
        <v>48</v>
      </c>
      <c r="E74" s="31">
        <v>98</v>
      </c>
      <c r="F74" s="31">
        <v>1</v>
      </c>
      <c r="G74" s="31"/>
      <c r="H74" s="50">
        <v>60000</v>
      </c>
      <c r="I74" s="13">
        <v>1.05</v>
      </c>
      <c r="J74" s="30">
        <f>H74*I74</f>
        <v>63000</v>
      </c>
      <c r="K74" s="62">
        <f>J74*F74*12</f>
        <v>756000</v>
      </c>
      <c r="L74" s="65">
        <f t="shared" si="19"/>
        <v>63000</v>
      </c>
      <c r="M74" s="70">
        <f t="shared" ref="M74" si="30">J74*11</f>
        <v>693000</v>
      </c>
      <c r="N74" s="65">
        <f t="shared" si="27"/>
        <v>0</v>
      </c>
      <c r="O74" s="14"/>
      <c r="P74" s="13"/>
      <c r="Q74" s="11"/>
      <c r="R74" s="13"/>
      <c r="S74" s="13"/>
      <c r="T74" s="11"/>
      <c r="U74" s="64"/>
      <c r="V74" s="68"/>
      <c r="W74" s="71"/>
      <c r="X74" s="68"/>
      <c r="Y74" s="24"/>
      <c r="Z74" s="23"/>
      <c r="AA74" s="23"/>
      <c r="AB74" s="23"/>
      <c r="AC74" s="23"/>
      <c r="AD74" s="123"/>
      <c r="AE74" s="135"/>
      <c r="AF74" s="136"/>
      <c r="AG74" s="141"/>
      <c r="AH74" s="10">
        <f t="shared" si="29"/>
        <v>756000</v>
      </c>
      <c r="AI74" s="155">
        <f t="shared" si="16"/>
        <v>63000</v>
      </c>
      <c r="AJ74" s="156">
        <f t="shared" si="17"/>
        <v>693000</v>
      </c>
      <c r="AK74" s="157">
        <f t="shared" si="25"/>
        <v>0</v>
      </c>
    </row>
    <row r="75" spans="1:37" s="21" customFormat="1" ht="31.5" x14ac:dyDescent="0.2">
      <c r="A75" s="18">
        <v>18</v>
      </c>
      <c r="B75" s="56" t="s">
        <v>47</v>
      </c>
      <c r="C75" s="17" t="s">
        <v>6</v>
      </c>
      <c r="D75" s="13" t="s">
        <v>46</v>
      </c>
      <c r="E75" s="31"/>
      <c r="F75" s="31"/>
      <c r="G75" s="31"/>
      <c r="H75" s="50"/>
      <c r="I75" s="13"/>
      <c r="J75" s="30"/>
      <c r="K75" s="62"/>
      <c r="L75" s="65"/>
      <c r="M75" s="70"/>
      <c r="N75" s="65"/>
      <c r="O75" s="14">
        <v>691</v>
      </c>
      <c r="P75" s="13">
        <v>1</v>
      </c>
      <c r="Q75" s="11">
        <v>80000</v>
      </c>
      <c r="R75" s="13">
        <v>1.05</v>
      </c>
      <c r="S75" s="13">
        <v>1</v>
      </c>
      <c r="T75" s="11">
        <f t="shared" ref="T75:T79" si="31">Q75*R75*S75</f>
        <v>84000</v>
      </c>
      <c r="U75" s="64">
        <f t="shared" ref="U75:U79" si="32">T75*12</f>
        <v>1008000</v>
      </c>
      <c r="V75" s="68">
        <f t="shared" si="13"/>
        <v>84000</v>
      </c>
      <c r="W75" s="71">
        <f t="shared" si="14"/>
        <v>924000</v>
      </c>
      <c r="X75" s="68">
        <f t="shared" si="15"/>
        <v>0</v>
      </c>
      <c r="Y75" s="24"/>
      <c r="Z75" s="23"/>
      <c r="AA75" s="23"/>
      <c r="AB75" s="23"/>
      <c r="AC75" s="23"/>
      <c r="AD75" s="123"/>
      <c r="AE75" s="135"/>
      <c r="AF75" s="136"/>
      <c r="AG75" s="141"/>
      <c r="AH75" s="10">
        <f t="shared" si="29"/>
        <v>1008000</v>
      </c>
      <c r="AI75" s="155">
        <f t="shared" si="16"/>
        <v>84000</v>
      </c>
      <c r="AJ75" s="156">
        <f t="shared" si="17"/>
        <v>924000</v>
      </c>
      <c r="AK75" s="157">
        <f t="shared" si="25"/>
        <v>0</v>
      </c>
    </row>
    <row r="76" spans="1:37" s="21" customFormat="1" x14ac:dyDescent="0.2">
      <c r="A76" s="1290">
        <v>19</v>
      </c>
      <c r="B76" s="1259" t="s">
        <v>45</v>
      </c>
      <c r="C76" s="1259" t="s">
        <v>6</v>
      </c>
      <c r="D76" s="13" t="s">
        <v>44</v>
      </c>
      <c r="E76" s="31"/>
      <c r="F76" s="31"/>
      <c r="G76" s="31"/>
      <c r="H76" s="50"/>
      <c r="I76" s="13"/>
      <c r="J76" s="30"/>
      <c r="K76" s="62"/>
      <c r="L76" s="65"/>
      <c r="M76" s="70"/>
      <c r="N76" s="65"/>
      <c r="O76" s="14">
        <v>300</v>
      </c>
      <c r="P76" s="13">
        <v>1</v>
      </c>
      <c r="Q76" s="11">
        <v>60000</v>
      </c>
      <c r="R76" s="13">
        <v>1.05</v>
      </c>
      <c r="S76" s="160">
        <v>1</v>
      </c>
      <c r="T76" s="11">
        <f t="shared" si="31"/>
        <v>63000</v>
      </c>
      <c r="U76" s="64">
        <f t="shared" si="32"/>
        <v>756000</v>
      </c>
      <c r="V76" s="68">
        <f t="shared" si="13"/>
        <v>63000</v>
      </c>
      <c r="W76" s="71">
        <f t="shared" si="14"/>
        <v>693000</v>
      </c>
      <c r="X76" s="68">
        <f t="shared" si="15"/>
        <v>0</v>
      </c>
      <c r="Y76" s="24"/>
      <c r="Z76" s="23"/>
      <c r="AA76" s="23"/>
      <c r="AB76" s="23"/>
      <c r="AC76" s="23"/>
      <c r="AD76" s="123"/>
      <c r="AE76" s="135"/>
      <c r="AF76" s="136"/>
      <c r="AG76" s="141"/>
      <c r="AH76" s="10">
        <f t="shared" si="29"/>
        <v>756000</v>
      </c>
      <c r="AI76" s="155">
        <f t="shared" si="16"/>
        <v>63000</v>
      </c>
      <c r="AJ76" s="156">
        <f t="shared" si="17"/>
        <v>693000</v>
      </c>
      <c r="AK76" s="157">
        <f t="shared" si="25"/>
        <v>0</v>
      </c>
    </row>
    <row r="77" spans="1:37" s="27" customFormat="1" x14ac:dyDescent="0.2">
      <c r="A77" s="1290"/>
      <c r="B77" s="1259"/>
      <c r="C77" s="1259"/>
      <c r="D77" s="13" t="s">
        <v>43</v>
      </c>
      <c r="E77" s="31"/>
      <c r="F77" s="31"/>
      <c r="G77" s="31"/>
      <c r="H77" s="50"/>
      <c r="I77" s="13"/>
      <c r="J77" s="30"/>
      <c r="K77" s="62"/>
      <c r="L77" s="65"/>
      <c r="M77" s="70"/>
      <c r="N77" s="65"/>
      <c r="O77" s="14">
        <v>76</v>
      </c>
      <c r="P77" s="13">
        <v>1</v>
      </c>
      <c r="Q77" s="11">
        <v>60000</v>
      </c>
      <c r="R77" s="13">
        <v>1.05</v>
      </c>
      <c r="S77" s="13">
        <v>1.1000000000000001</v>
      </c>
      <c r="T77" s="11">
        <f t="shared" si="31"/>
        <v>69300</v>
      </c>
      <c r="U77" s="64">
        <f t="shared" si="32"/>
        <v>831600</v>
      </c>
      <c r="V77" s="68">
        <f t="shared" si="13"/>
        <v>69300</v>
      </c>
      <c r="W77" s="71">
        <f t="shared" si="14"/>
        <v>762300</v>
      </c>
      <c r="X77" s="68">
        <f t="shared" si="15"/>
        <v>0</v>
      </c>
      <c r="Y77" s="29"/>
      <c r="Z77" s="28"/>
      <c r="AA77" s="28"/>
      <c r="AB77" s="28"/>
      <c r="AC77" s="28"/>
      <c r="AD77" s="124"/>
      <c r="AE77" s="137"/>
      <c r="AF77" s="138"/>
      <c r="AG77" s="142"/>
      <c r="AH77" s="10">
        <f t="shared" si="29"/>
        <v>831600</v>
      </c>
      <c r="AI77" s="155">
        <f t="shared" si="16"/>
        <v>69300</v>
      </c>
      <c r="AJ77" s="156">
        <f t="shared" si="17"/>
        <v>762300</v>
      </c>
      <c r="AK77" s="157">
        <f t="shared" si="25"/>
        <v>0</v>
      </c>
    </row>
    <row r="78" spans="1:37" s="27" customFormat="1" ht="31.5" x14ac:dyDescent="0.2">
      <c r="A78" s="1290">
        <v>20</v>
      </c>
      <c r="B78" s="1259" t="s">
        <v>42</v>
      </c>
      <c r="C78" s="17" t="s">
        <v>6</v>
      </c>
      <c r="D78" s="13" t="s">
        <v>41</v>
      </c>
      <c r="E78" s="31"/>
      <c r="F78" s="31"/>
      <c r="G78" s="31"/>
      <c r="H78" s="50"/>
      <c r="I78" s="13"/>
      <c r="J78" s="30"/>
      <c r="K78" s="62"/>
      <c r="L78" s="65"/>
      <c r="M78" s="70"/>
      <c r="N78" s="65"/>
      <c r="O78" s="18">
        <v>498</v>
      </c>
      <c r="P78" s="13">
        <v>1</v>
      </c>
      <c r="Q78" s="11">
        <v>70000</v>
      </c>
      <c r="R78" s="13">
        <v>1.05</v>
      </c>
      <c r="S78" s="13">
        <v>1.1000000000000001</v>
      </c>
      <c r="T78" s="11">
        <f t="shared" si="31"/>
        <v>80850</v>
      </c>
      <c r="U78" s="64">
        <f t="shared" si="32"/>
        <v>970200</v>
      </c>
      <c r="V78" s="68">
        <f t="shared" si="13"/>
        <v>80850</v>
      </c>
      <c r="W78" s="71">
        <f t="shared" si="14"/>
        <v>889350</v>
      </c>
      <c r="X78" s="68">
        <f t="shared" si="15"/>
        <v>0</v>
      </c>
      <c r="Y78" s="29"/>
      <c r="Z78" s="28"/>
      <c r="AA78" s="28"/>
      <c r="AB78" s="28"/>
      <c r="AC78" s="28"/>
      <c r="AD78" s="124"/>
      <c r="AE78" s="137"/>
      <c r="AF78" s="138"/>
      <c r="AG78" s="142"/>
      <c r="AH78" s="10">
        <f t="shared" si="29"/>
        <v>970200</v>
      </c>
      <c r="AI78" s="155">
        <f t="shared" si="16"/>
        <v>80850</v>
      </c>
      <c r="AJ78" s="156">
        <f t="shared" si="17"/>
        <v>889350</v>
      </c>
      <c r="AK78" s="157">
        <f t="shared" si="25"/>
        <v>0</v>
      </c>
    </row>
    <row r="79" spans="1:37" s="27" customFormat="1" ht="31.5" x14ac:dyDescent="0.2">
      <c r="A79" s="1290"/>
      <c r="B79" s="1259"/>
      <c r="C79" s="17" t="s">
        <v>6</v>
      </c>
      <c r="D79" s="13" t="s">
        <v>40</v>
      </c>
      <c r="E79" s="31"/>
      <c r="F79" s="31"/>
      <c r="G79" s="31"/>
      <c r="H79" s="50"/>
      <c r="I79" s="13"/>
      <c r="J79" s="30"/>
      <c r="K79" s="62"/>
      <c r="L79" s="65"/>
      <c r="M79" s="70"/>
      <c r="N79" s="65"/>
      <c r="O79" s="18">
        <v>399</v>
      </c>
      <c r="P79" s="13">
        <v>1</v>
      </c>
      <c r="Q79" s="11">
        <v>60000</v>
      </c>
      <c r="R79" s="13">
        <v>1.05</v>
      </c>
      <c r="S79" s="13">
        <v>1</v>
      </c>
      <c r="T79" s="11">
        <f t="shared" si="31"/>
        <v>63000</v>
      </c>
      <c r="U79" s="64">
        <f t="shared" si="32"/>
        <v>756000</v>
      </c>
      <c r="V79" s="68">
        <f t="shared" si="13"/>
        <v>63000</v>
      </c>
      <c r="W79" s="71">
        <f t="shared" si="14"/>
        <v>693000</v>
      </c>
      <c r="X79" s="68">
        <f t="shared" si="15"/>
        <v>0</v>
      </c>
      <c r="Y79" s="29"/>
      <c r="Z79" s="28"/>
      <c r="AA79" s="28"/>
      <c r="AB79" s="28"/>
      <c r="AC79" s="28"/>
      <c r="AD79" s="124"/>
      <c r="AE79" s="137"/>
      <c r="AF79" s="138"/>
      <c r="AG79" s="142"/>
      <c r="AH79" s="10">
        <f t="shared" si="29"/>
        <v>756000</v>
      </c>
      <c r="AI79" s="155">
        <f t="shared" si="16"/>
        <v>63000</v>
      </c>
      <c r="AJ79" s="156">
        <f t="shared" si="17"/>
        <v>693000</v>
      </c>
      <c r="AK79" s="157">
        <f t="shared" si="25"/>
        <v>0</v>
      </c>
    </row>
    <row r="80" spans="1:37" s="27" customFormat="1" x14ac:dyDescent="0.2">
      <c r="A80" s="1290">
        <v>21</v>
      </c>
      <c r="B80" s="1259" t="s">
        <v>39</v>
      </c>
      <c r="C80" s="1259" t="s">
        <v>6</v>
      </c>
      <c r="D80" s="13" t="s">
        <v>38</v>
      </c>
      <c r="E80" s="31"/>
      <c r="F80" s="31"/>
      <c r="G80" s="31"/>
      <c r="H80" s="50"/>
      <c r="I80" s="13"/>
      <c r="J80" s="30"/>
      <c r="K80" s="62"/>
      <c r="L80" s="65"/>
      <c r="M80" s="70"/>
      <c r="N80" s="65">
        <f t="shared" si="27"/>
        <v>0</v>
      </c>
      <c r="O80" s="14">
        <v>300</v>
      </c>
      <c r="P80" s="13">
        <v>1</v>
      </c>
      <c r="Q80" s="11">
        <v>60000</v>
      </c>
      <c r="R80" s="13">
        <v>1.05</v>
      </c>
      <c r="S80" s="13">
        <v>1.1000000000000001</v>
      </c>
      <c r="T80" s="11">
        <f>Q80*R80*S80</f>
        <v>69300</v>
      </c>
      <c r="U80" s="64">
        <f>T80*12</f>
        <v>831600</v>
      </c>
      <c r="V80" s="68">
        <f t="shared" si="13"/>
        <v>69300</v>
      </c>
      <c r="W80" s="71">
        <f t="shared" si="14"/>
        <v>762300</v>
      </c>
      <c r="X80" s="68">
        <f t="shared" si="15"/>
        <v>0</v>
      </c>
      <c r="Y80" s="29"/>
      <c r="Z80" s="28"/>
      <c r="AA80" s="28"/>
      <c r="AB80" s="28"/>
      <c r="AC80" s="28"/>
      <c r="AD80" s="124"/>
      <c r="AE80" s="137"/>
      <c r="AF80" s="138"/>
      <c r="AG80" s="142"/>
      <c r="AH80" s="10">
        <f t="shared" si="29"/>
        <v>831600</v>
      </c>
      <c r="AI80" s="155">
        <f t="shared" si="16"/>
        <v>69300</v>
      </c>
      <c r="AJ80" s="156">
        <f t="shared" si="17"/>
        <v>762300</v>
      </c>
      <c r="AK80" s="157">
        <f t="shared" si="25"/>
        <v>0</v>
      </c>
    </row>
    <row r="81" spans="1:37" s="27" customFormat="1" x14ac:dyDescent="0.2">
      <c r="A81" s="1290"/>
      <c r="B81" s="1259"/>
      <c r="C81" s="1259"/>
      <c r="D81" s="13" t="s">
        <v>37</v>
      </c>
      <c r="E81" s="31">
        <v>41</v>
      </c>
      <c r="F81" s="31">
        <v>1</v>
      </c>
      <c r="G81" s="31"/>
      <c r="H81" s="50">
        <v>60000</v>
      </c>
      <c r="I81" s="13">
        <v>1.05</v>
      </c>
      <c r="J81" s="30">
        <f>H81*I81</f>
        <v>63000</v>
      </c>
      <c r="K81" s="62">
        <f>J81*F81*12</f>
        <v>756000</v>
      </c>
      <c r="L81" s="65">
        <f t="shared" si="19"/>
        <v>63000</v>
      </c>
      <c r="M81" s="70">
        <f t="shared" ref="M81:M82" si="33">J81*11</f>
        <v>693000</v>
      </c>
      <c r="N81" s="65">
        <f t="shared" si="27"/>
        <v>0</v>
      </c>
      <c r="O81" s="14"/>
      <c r="P81" s="13"/>
      <c r="Q81" s="11"/>
      <c r="R81" s="13"/>
      <c r="S81" s="13"/>
      <c r="T81" s="11"/>
      <c r="U81" s="64"/>
      <c r="V81" s="68"/>
      <c r="W81" s="71"/>
      <c r="X81" s="68"/>
      <c r="Y81" s="29"/>
      <c r="Z81" s="28"/>
      <c r="AA81" s="28"/>
      <c r="AB81" s="28"/>
      <c r="AC81" s="28"/>
      <c r="AD81" s="124"/>
      <c r="AE81" s="137"/>
      <c r="AF81" s="138"/>
      <c r="AG81" s="142"/>
      <c r="AH81" s="10">
        <f t="shared" si="29"/>
        <v>756000</v>
      </c>
      <c r="AI81" s="155">
        <f t="shared" si="16"/>
        <v>63000</v>
      </c>
      <c r="AJ81" s="156">
        <f t="shared" si="17"/>
        <v>693000</v>
      </c>
      <c r="AK81" s="157">
        <f t="shared" si="25"/>
        <v>0</v>
      </c>
    </row>
    <row r="82" spans="1:37" s="27" customFormat="1" x14ac:dyDescent="0.2">
      <c r="A82" s="1290"/>
      <c r="B82" s="1259"/>
      <c r="C82" s="1259"/>
      <c r="D82" s="33" t="s">
        <v>36</v>
      </c>
      <c r="E82" s="31">
        <v>83</v>
      </c>
      <c r="F82" s="31">
        <v>1</v>
      </c>
      <c r="G82" s="31"/>
      <c r="H82" s="50">
        <v>60000</v>
      </c>
      <c r="I82" s="13">
        <v>1.05</v>
      </c>
      <c r="J82" s="30">
        <f>H82*I82</f>
        <v>63000</v>
      </c>
      <c r="K82" s="62">
        <f>J82*F82*12</f>
        <v>756000</v>
      </c>
      <c r="L82" s="65">
        <f t="shared" si="19"/>
        <v>63000</v>
      </c>
      <c r="M82" s="70">
        <f t="shared" si="33"/>
        <v>693000</v>
      </c>
      <c r="N82" s="65">
        <f t="shared" si="27"/>
        <v>0</v>
      </c>
      <c r="O82" s="14"/>
      <c r="P82" s="13"/>
      <c r="Q82" s="11"/>
      <c r="R82" s="13"/>
      <c r="S82" s="13"/>
      <c r="T82" s="11"/>
      <c r="U82" s="64"/>
      <c r="V82" s="68"/>
      <c r="W82" s="71"/>
      <c r="X82" s="68"/>
      <c r="Y82" s="29"/>
      <c r="Z82" s="28"/>
      <c r="AA82" s="28"/>
      <c r="AB82" s="28"/>
      <c r="AC82" s="28"/>
      <c r="AD82" s="124"/>
      <c r="AE82" s="137"/>
      <c r="AF82" s="138"/>
      <c r="AG82" s="142"/>
      <c r="AH82" s="10">
        <f t="shared" si="29"/>
        <v>756000</v>
      </c>
      <c r="AI82" s="155">
        <f t="shared" si="16"/>
        <v>63000</v>
      </c>
      <c r="AJ82" s="156">
        <f t="shared" si="17"/>
        <v>693000</v>
      </c>
      <c r="AK82" s="157">
        <f t="shared" si="25"/>
        <v>0</v>
      </c>
    </row>
    <row r="83" spans="1:37" s="27" customFormat="1" ht="31.5" x14ac:dyDescent="0.2">
      <c r="A83" s="18">
        <v>22</v>
      </c>
      <c r="B83" s="56" t="s">
        <v>35</v>
      </c>
      <c r="C83" s="17" t="s">
        <v>6</v>
      </c>
      <c r="D83" s="13" t="s">
        <v>34</v>
      </c>
      <c r="E83" s="31"/>
      <c r="F83" s="31"/>
      <c r="G83" s="31"/>
      <c r="H83" s="50"/>
      <c r="I83" s="13"/>
      <c r="J83" s="30"/>
      <c r="K83" s="62"/>
      <c r="L83" s="65"/>
      <c r="M83" s="70"/>
      <c r="N83" s="65"/>
      <c r="O83" s="14">
        <v>586</v>
      </c>
      <c r="P83" s="13">
        <v>1</v>
      </c>
      <c r="Q83" s="11">
        <v>75000</v>
      </c>
      <c r="R83" s="13">
        <v>1.05</v>
      </c>
      <c r="S83" s="13">
        <v>1.1000000000000001</v>
      </c>
      <c r="T83" s="11">
        <f>Q83*R83*S83</f>
        <v>86625</v>
      </c>
      <c r="U83" s="64">
        <f>T83*12</f>
        <v>1039500</v>
      </c>
      <c r="V83" s="68">
        <f t="shared" si="13"/>
        <v>86625</v>
      </c>
      <c r="W83" s="71">
        <f t="shared" si="14"/>
        <v>952875</v>
      </c>
      <c r="X83" s="68">
        <f t="shared" si="15"/>
        <v>0</v>
      </c>
      <c r="Y83" s="29"/>
      <c r="Z83" s="28"/>
      <c r="AA83" s="28"/>
      <c r="AB83" s="28"/>
      <c r="AC83" s="28"/>
      <c r="AD83" s="124"/>
      <c r="AE83" s="137"/>
      <c r="AF83" s="138"/>
      <c r="AG83" s="142"/>
      <c r="AH83" s="10">
        <f t="shared" si="29"/>
        <v>1039500</v>
      </c>
      <c r="AI83" s="155">
        <f t="shared" si="16"/>
        <v>86625</v>
      </c>
      <c r="AJ83" s="156">
        <f t="shared" si="17"/>
        <v>952875</v>
      </c>
      <c r="AK83" s="157">
        <f t="shared" si="25"/>
        <v>0</v>
      </c>
    </row>
    <row r="84" spans="1:37" s="27" customFormat="1" ht="31.5" x14ac:dyDescent="0.2">
      <c r="A84" s="18">
        <v>23</v>
      </c>
      <c r="B84" s="56" t="s">
        <v>33</v>
      </c>
      <c r="C84" s="17" t="s">
        <v>6</v>
      </c>
      <c r="D84" s="13" t="s">
        <v>33</v>
      </c>
      <c r="E84" s="31"/>
      <c r="F84" s="31"/>
      <c r="G84" s="31"/>
      <c r="H84" s="50"/>
      <c r="I84" s="13"/>
      <c r="J84" s="30"/>
      <c r="K84" s="62"/>
      <c r="L84" s="65"/>
      <c r="M84" s="70"/>
      <c r="N84" s="65"/>
      <c r="O84" s="14">
        <v>361</v>
      </c>
      <c r="P84" s="13">
        <v>1</v>
      </c>
      <c r="Q84" s="11">
        <v>60000</v>
      </c>
      <c r="R84" s="13">
        <v>1.05</v>
      </c>
      <c r="S84" s="13">
        <v>1.1000000000000001</v>
      </c>
      <c r="T84" s="11">
        <f>Q84*R84*S84</f>
        <v>69300</v>
      </c>
      <c r="U84" s="64">
        <f>T84*12</f>
        <v>831600</v>
      </c>
      <c r="V84" s="68">
        <f t="shared" si="13"/>
        <v>69300</v>
      </c>
      <c r="W84" s="71">
        <f t="shared" si="14"/>
        <v>762300</v>
      </c>
      <c r="X84" s="68">
        <f t="shared" si="15"/>
        <v>0</v>
      </c>
      <c r="Y84" s="29"/>
      <c r="Z84" s="28"/>
      <c r="AA84" s="28"/>
      <c r="AB84" s="28"/>
      <c r="AC84" s="28"/>
      <c r="AD84" s="124"/>
      <c r="AE84" s="137"/>
      <c r="AF84" s="138"/>
      <c r="AG84" s="142"/>
      <c r="AH84" s="10">
        <f t="shared" si="29"/>
        <v>831600</v>
      </c>
      <c r="AI84" s="155">
        <f t="shared" si="16"/>
        <v>69300</v>
      </c>
      <c r="AJ84" s="156">
        <f t="shared" si="17"/>
        <v>762300</v>
      </c>
      <c r="AK84" s="157">
        <f t="shared" si="25"/>
        <v>0</v>
      </c>
    </row>
    <row r="85" spans="1:37" s="27" customFormat="1" x14ac:dyDescent="0.2">
      <c r="A85" s="1290">
        <v>24</v>
      </c>
      <c r="B85" s="1259" t="s">
        <v>32</v>
      </c>
      <c r="C85" s="1259" t="s">
        <v>6</v>
      </c>
      <c r="D85" s="13" t="s">
        <v>31</v>
      </c>
      <c r="E85" s="31"/>
      <c r="F85" s="31"/>
      <c r="G85" s="31"/>
      <c r="H85" s="50"/>
      <c r="I85" s="13"/>
      <c r="J85" s="30"/>
      <c r="K85" s="62"/>
      <c r="L85" s="65"/>
      <c r="M85" s="70"/>
      <c r="N85" s="65"/>
      <c r="O85" s="14">
        <v>441</v>
      </c>
      <c r="P85" s="13">
        <v>1</v>
      </c>
      <c r="Q85" s="11">
        <v>70000</v>
      </c>
      <c r="R85" s="13">
        <v>1.05</v>
      </c>
      <c r="S85" s="13">
        <v>1</v>
      </c>
      <c r="T85" s="11">
        <f>Q85*R85*S85</f>
        <v>73500</v>
      </c>
      <c r="U85" s="64">
        <f>T85*12</f>
        <v>882000</v>
      </c>
      <c r="V85" s="68">
        <f t="shared" si="13"/>
        <v>73500</v>
      </c>
      <c r="W85" s="71">
        <f t="shared" si="14"/>
        <v>808500</v>
      </c>
      <c r="X85" s="68">
        <f t="shared" si="15"/>
        <v>0</v>
      </c>
      <c r="Y85" s="29"/>
      <c r="Z85" s="28"/>
      <c r="AA85" s="28"/>
      <c r="AB85" s="28"/>
      <c r="AC85" s="28"/>
      <c r="AD85" s="124"/>
      <c r="AE85" s="137"/>
      <c r="AF85" s="138"/>
      <c r="AG85" s="142"/>
      <c r="AH85" s="10">
        <f t="shared" si="29"/>
        <v>882000</v>
      </c>
      <c r="AI85" s="155">
        <f t="shared" si="16"/>
        <v>73500</v>
      </c>
      <c r="AJ85" s="156">
        <f t="shared" si="17"/>
        <v>808500</v>
      </c>
      <c r="AK85" s="157">
        <f t="shared" si="25"/>
        <v>0</v>
      </c>
    </row>
    <row r="86" spans="1:37" s="27" customFormat="1" x14ac:dyDescent="0.2">
      <c r="A86" s="1290"/>
      <c r="B86" s="1259"/>
      <c r="C86" s="1259"/>
      <c r="D86" s="13" t="s">
        <v>31</v>
      </c>
      <c r="E86" s="31">
        <v>137</v>
      </c>
      <c r="F86" s="31">
        <v>1</v>
      </c>
      <c r="G86" s="31"/>
      <c r="H86" s="50">
        <v>65000</v>
      </c>
      <c r="I86" s="13">
        <v>1.05</v>
      </c>
      <c r="J86" s="30">
        <f>H86*I86</f>
        <v>68250</v>
      </c>
      <c r="K86" s="62">
        <f>J86*F86*12</f>
        <v>819000</v>
      </c>
      <c r="L86" s="65">
        <f t="shared" si="19"/>
        <v>68250</v>
      </c>
      <c r="M86" s="70">
        <f t="shared" ref="M86:M87" si="34">J86*11</f>
        <v>750750</v>
      </c>
      <c r="N86" s="65">
        <f t="shared" si="27"/>
        <v>0</v>
      </c>
      <c r="O86" s="14"/>
      <c r="P86" s="13"/>
      <c r="Q86" s="11"/>
      <c r="R86" s="13"/>
      <c r="S86" s="13"/>
      <c r="T86" s="11"/>
      <c r="U86" s="64"/>
      <c r="V86" s="68"/>
      <c r="W86" s="71"/>
      <c r="X86" s="68"/>
      <c r="Y86" s="29"/>
      <c r="Z86" s="28"/>
      <c r="AA86" s="28"/>
      <c r="AB86" s="28"/>
      <c r="AC86" s="28"/>
      <c r="AD86" s="124"/>
      <c r="AE86" s="137"/>
      <c r="AF86" s="138"/>
      <c r="AG86" s="142"/>
      <c r="AH86" s="10">
        <f t="shared" si="29"/>
        <v>819000</v>
      </c>
      <c r="AI86" s="155">
        <f t="shared" si="16"/>
        <v>68250</v>
      </c>
      <c r="AJ86" s="156">
        <f t="shared" si="17"/>
        <v>750750</v>
      </c>
      <c r="AK86" s="157">
        <f t="shared" si="25"/>
        <v>0</v>
      </c>
    </row>
    <row r="87" spans="1:37" s="27" customFormat="1" x14ac:dyDescent="0.2">
      <c r="A87" s="1290"/>
      <c r="B87" s="1259"/>
      <c r="C87" s="1259"/>
      <c r="D87" s="13" t="s">
        <v>30</v>
      </c>
      <c r="E87" s="31">
        <v>110</v>
      </c>
      <c r="F87" s="31">
        <v>1</v>
      </c>
      <c r="G87" s="31"/>
      <c r="H87" s="50">
        <v>65000</v>
      </c>
      <c r="I87" s="13">
        <v>1.05</v>
      </c>
      <c r="J87" s="30">
        <f>H87*I87</f>
        <v>68250</v>
      </c>
      <c r="K87" s="62">
        <f>J87*F87*12</f>
        <v>819000</v>
      </c>
      <c r="L87" s="65">
        <f t="shared" si="19"/>
        <v>68250</v>
      </c>
      <c r="M87" s="70">
        <f t="shared" si="34"/>
        <v>750750</v>
      </c>
      <c r="N87" s="65">
        <f t="shared" si="27"/>
        <v>0</v>
      </c>
      <c r="O87" s="14"/>
      <c r="P87" s="13"/>
      <c r="Q87" s="11"/>
      <c r="R87" s="13"/>
      <c r="S87" s="13"/>
      <c r="T87" s="11"/>
      <c r="U87" s="64"/>
      <c r="V87" s="68"/>
      <c r="W87" s="71"/>
      <c r="X87" s="68"/>
      <c r="Y87" s="29"/>
      <c r="Z87" s="28"/>
      <c r="AA87" s="28"/>
      <c r="AB87" s="28"/>
      <c r="AC87" s="28"/>
      <c r="AD87" s="124"/>
      <c r="AE87" s="137"/>
      <c r="AF87" s="138"/>
      <c r="AG87" s="142"/>
      <c r="AH87" s="10">
        <f t="shared" si="29"/>
        <v>819000</v>
      </c>
      <c r="AI87" s="155">
        <f t="shared" si="16"/>
        <v>68250</v>
      </c>
      <c r="AJ87" s="156">
        <f t="shared" si="17"/>
        <v>750750</v>
      </c>
      <c r="AK87" s="157">
        <f t="shared" si="25"/>
        <v>0</v>
      </c>
    </row>
    <row r="88" spans="1:37" s="27" customFormat="1" ht="15.75" customHeight="1" x14ac:dyDescent="0.2">
      <c r="A88" s="1270">
        <v>25</v>
      </c>
      <c r="B88" s="1244" t="s">
        <v>29</v>
      </c>
      <c r="C88" s="1259" t="s">
        <v>6</v>
      </c>
      <c r="D88" s="13" t="s">
        <v>28</v>
      </c>
      <c r="E88" s="31"/>
      <c r="F88" s="31"/>
      <c r="G88" s="31"/>
      <c r="H88" s="50"/>
      <c r="I88" s="13"/>
      <c r="J88" s="30"/>
      <c r="K88" s="62"/>
      <c r="L88" s="65"/>
      <c r="M88" s="70"/>
      <c r="N88" s="65"/>
      <c r="O88" s="14">
        <v>476</v>
      </c>
      <c r="P88" s="13">
        <v>1</v>
      </c>
      <c r="Q88" s="11">
        <v>70000</v>
      </c>
      <c r="R88" s="13">
        <v>1.05</v>
      </c>
      <c r="S88" s="13">
        <v>1</v>
      </c>
      <c r="T88" s="11">
        <f>Q88*R88*S88</f>
        <v>73500</v>
      </c>
      <c r="U88" s="64">
        <f>T88*12</f>
        <v>882000</v>
      </c>
      <c r="V88" s="68">
        <f t="shared" si="13"/>
        <v>73500</v>
      </c>
      <c r="W88" s="71">
        <f t="shared" si="14"/>
        <v>808500</v>
      </c>
      <c r="X88" s="68">
        <f t="shared" si="15"/>
        <v>0</v>
      </c>
      <c r="Y88" s="29"/>
      <c r="Z88" s="28"/>
      <c r="AA88" s="28"/>
      <c r="AB88" s="28"/>
      <c r="AC88" s="28"/>
      <c r="AD88" s="124"/>
      <c r="AE88" s="137"/>
      <c r="AF88" s="138"/>
      <c r="AG88" s="142"/>
      <c r="AH88" s="10">
        <f t="shared" si="29"/>
        <v>882000</v>
      </c>
      <c r="AI88" s="155">
        <f t="shared" si="16"/>
        <v>73500</v>
      </c>
      <c r="AJ88" s="156">
        <f t="shared" si="17"/>
        <v>808500</v>
      </c>
      <c r="AK88" s="157">
        <f t="shared" si="25"/>
        <v>0</v>
      </c>
    </row>
    <row r="89" spans="1:37" s="27" customFormat="1" x14ac:dyDescent="0.2">
      <c r="A89" s="1271"/>
      <c r="B89" s="1273"/>
      <c r="C89" s="1259"/>
      <c r="D89" s="13" t="s">
        <v>27</v>
      </c>
      <c r="E89" s="31">
        <v>110</v>
      </c>
      <c r="F89" s="31">
        <v>1</v>
      </c>
      <c r="G89" s="31"/>
      <c r="H89" s="50">
        <v>65000</v>
      </c>
      <c r="I89" s="13">
        <v>1.05</v>
      </c>
      <c r="J89" s="30">
        <f>H89*I89</f>
        <v>68250</v>
      </c>
      <c r="K89" s="62">
        <f>J89*F89*12</f>
        <v>819000</v>
      </c>
      <c r="L89" s="65">
        <f t="shared" si="19"/>
        <v>68250</v>
      </c>
      <c r="M89" s="70">
        <f t="shared" ref="M89" si="35">J89*11</f>
        <v>750750</v>
      </c>
      <c r="N89" s="65">
        <f t="shared" si="27"/>
        <v>0</v>
      </c>
      <c r="O89" s="14"/>
      <c r="P89" s="13"/>
      <c r="Q89" s="11"/>
      <c r="R89" s="13"/>
      <c r="S89" s="13"/>
      <c r="T89" s="11"/>
      <c r="U89" s="64"/>
      <c r="V89" s="68"/>
      <c r="W89" s="71"/>
      <c r="X89" s="68"/>
      <c r="Y89" s="29"/>
      <c r="Z89" s="28"/>
      <c r="AA89" s="28"/>
      <c r="AB89" s="28"/>
      <c r="AC89" s="28"/>
      <c r="AD89" s="124"/>
      <c r="AE89" s="137"/>
      <c r="AF89" s="138"/>
      <c r="AG89" s="142"/>
      <c r="AH89" s="10">
        <f t="shared" si="29"/>
        <v>819000</v>
      </c>
      <c r="AI89" s="155">
        <f t="shared" si="16"/>
        <v>68250</v>
      </c>
      <c r="AJ89" s="156">
        <f t="shared" si="17"/>
        <v>750750</v>
      </c>
      <c r="AK89" s="157">
        <f t="shared" si="25"/>
        <v>0</v>
      </c>
    </row>
    <row r="90" spans="1:37" s="27" customFormat="1" x14ac:dyDescent="0.2">
      <c r="A90" s="1272"/>
      <c r="B90" s="1245"/>
      <c r="C90" s="56"/>
      <c r="D90" s="69" t="s">
        <v>19</v>
      </c>
      <c r="E90" s="31">
        <v>220</v>
      </c>
      <c r="F90" s="31">
        <v>1</v>
      </c>
      <c r="G90" s="31"/>
      <c r="H90" s="50">
        <v>65000</v>
      </c>
      <c r="I90" s="13">
        <v>1.05</v>
      </c>
      <c r="J90" s="30">
        <f>H90*I90</f>
        <v>68250</v>
      </c>
      <c r="K90" s="62">
        <f>J90*F90*4</f>
        <v>273000</v>
      </c>
      <c r="L90" s="65">
        <v>0</v>
      </c>
      <c r="M90" s="70">
        <f>J90*4</f>
        <v>273000</v>
      </c>
      <c r="N90" s="65">
        <f t="shared" si="27"/>
        <v>0</v>
      </c>
      <c r="O90" s="14"/>
      <c r="P90" s="13"/>
      <c r="Q90" s="11"/>
      <c r="R90" s="13"/>
      <c r="S90" s="13"/>
      <c r="T90" s="11"/>
      <c r="U90" s="64"/>
      <c r="V90" s="68"/>
      <c r="W90" s="71"/>
      <c r="X90" s="68"/>
      <c r="Y90" s="29"/>
      <c r="Z90" s="28"/>
      <c r="AA90" s="28"/>
      <c r="AB90" s="28"/>
      <c r="AC90" s="28"/>
      <c r="AD90" s="124"/>
      <c r="AE90" s="137"/>
      <c r="AF90" s="138"/>
      <c r="AG90" s="142"/>
      <c r="AH90" s="10">
        <f t="shared" si="29"/>
        <v>273000</v>
      </c>
      <c r="AI90" s="155">
        <v>0</v>
      </c>
      <c r="AJ90" s="156">
        <f>J90*4</f>
        <v>273000</v>
      </c>
      <c r="AK90" s="157">
        <f t="shared" si="25"/>
        <v>0</v>
      </c>
    </row>
    <row r="91" spans="1:37" s="27" customFormat="1" x14ac:dyDescent="0.2">
      <c r="A91" s="1290">
        <v>26</v>
      </c>
      <c r="B91" s="1259" t="s">
        <v>26</v>
      </c>
      <c r="C91" s="1259" t="s">
        <v>6</v>
      </c>
      <c r="D91" s="13" t="s">
        <v>25</v>
      </c>
      <c r="E91" s="31"/>
      <c r="F91" s="31"/>
      <c r="G91" s="31"/>
      <c r="H91" s="50"/>
      <c r="I91" s="13"/>
      <c r="J91" s="30"/>
      <c r="K91" s="62"/>
      <c r="L91" s="65"/>
      <c r="M91" s="70"/>
      <c r="N91" s="65"/>
      <c r="O91" s="14">
        <v>123</v>
      </c>
      <c r="P91" s="13">
        <v>1</v>
      </c>
      <c r="Q91" s="11">
        <v>60000</v>
      </c>
      <c r="R91" s="13">
        <v>1.05</v>
      </c>
      <c r="S91" s="13">
        <v>1</v>
      </c>
      <c r="T91" s="11">
        <f>Q91*R91*S91</f>
        <v>63000</v>
      </c>
      <c r="U91" s="64">
        <f>T91*12</f>
        <v>756000</v>
      </c>
      <c r="V91" s="68">
        <f t="shared" si="13"/>
        <v>63000</v>
      </c>
      <c r="W91" s="71">
        <f t="shared" si="14"/>
        <v>693000</v>
      </c>
      <c r="X91" s="68">
        <f t="shared" si="15"/>
        <v>0</v>
      </c>
      <c r="Y91" s="29"/>
      <c r="Z91" s="28"/>
      <c r="AA91" s="28"/>
      <c r="AB91" s="28"/>
      <c r="AC91" s="28"/>
      <c r="AD91" s="124"/>
      <c r="AE91" s="137"/>
      <c r="AF91" s="138"/>
      <c r="AG91" s="142"/>
      <c r="AH91" s="10">
        <f t="shared" si="29"/>
        <v>756000</v>
      </c>
      <c r="AI91" s="155">
        <f t="shared" si="16"/>
        <v>63000</v>
      </c>
      <c r="AJ91" s="156">
        <f t="shared" si="17"/>
        <v>693000</v>
      </c>
      <c r="AK91" s="157">
        <f t="shared" si="25"/>
        <v>0</v>
      </c>
    </row>
    <row r="92" spans="1:37" s="27" customFormat="1" x14ac:dyDescent="0.2">
      <c r="A92" s="1290"/>
      <c r="B92" s="1259"/>
      <c r="C92" s="1259"/>
      <c r="D92" s="13" t="s">
        <v>24</v>
      </c>
      <c r="E92" s="31"/>
      <c r="F92" s="31"/>
      <c r="G92" s="31"/>
      <c r="H92" s="50"/>
      <c r="I92" s="13"/>
      <c r="J92" s="30"/>
      <c r="K92" s="62"/>
      <c r="L92" s="65"/>
      <c r="M92" s="70"/>
      <c r="N92" s="65"/>
      <c r="O92" s="14">
        <v>77</v>
      </c>
      <c r="P92" s="13">
        <v>1</v>
      </c>
      <c r="Q92" s="11">
        <v>60000</v>
      </c>
      <c r="R92" s="13">
        <v>1.05</v>
      </c>
      <c r="S92" s="13">
        <v>1</v>
      </c>
      <c r="T92" s="11">
        <f>Q92*R92*S92</f>
        <v>63000</v>
      </c>
      <c r="U92" s="64">
        <f>T92*12</f>
        <v>756000</v>
      </c>
      <c r="V92" s="68">
        <f t="shared" si="13"/>
        <v>63000</v>
      </c>
      <c r="W92" s="71">
        <f t="shared" si="14"/>
        <v>693000</v>
      </c>
      <c r="X92" s="68">
        <f t="shared" si="15"/>
        <v>0</v>
      </c>
      <c r="Y92" s="29"/>
      <c r="Z92" s="28"/>
      <c r="AA92" s="28"/>
      <c r="AB92" s="28"/>
      <c r="AC92" s="28"/>
      <c r="AD92" s="124"/>
      <c r="AE92" s="137"/>
      <c r="AF92" s="138"/>
      <c r="AG92" s="142"/>
      <c r="AH92" s="10">
        <f t="shared" si="29"/>
        <v>756000</v>
      </c>
      <c r="AI92" s="155">
        <f t="shared" si="16"/>
        <v>63000</v>
      </c>
      <c r="AJ92" s="156">
        <f t="shared" si="17"/>
        <v>693000</v>
      </c>
      <c r="AK92" s="157">
        <f t="shared" si="25"/>
        <v>0</v>
      </c>
    </row>
    <row r="93" spans="1:37" s="27" customFormat="1" x14ac:dyDescent="0.2">
      <c r="A93" s="18">
        <v>27</v>
      </c>
      <c r="B93" s="56" t="s">
        <v>23</v>
      </c>
      <c r="C93" s="17"/>
      <c r="D93" s="13"/>
      <c r="E93" s="31"/>
      <c r="F93" s="31"/>
      <c r="G93" s="31"/>
      <c r="H93" s="50"/>
      <c r="I93" s="13"/>
      <c r="J93" s="30"/>
      <c r="K93" s="62"/>
      <c r="L93" s="65"/>
      <c r="M93" s="70"/>
      <c r="N93" s="65"/>
      <c r="O93" s="14">
        <v>169</v>
      </c>
      <c r="P93" s="13">
        <v>0</v>
      </c>
      <c r="Q93" s="11">
        <v>0</v>
      </c>
      <c r="R93" s="13"/>
      <c r="S93" s="13">
        <v>0</v>
      </c>
      <c r="T93" s="11">
        <v>0</v>
      </c>
      <c r="U93" s="64">
        <v>0</v>
      </c>
      <c r="V93" s="68">
        <v>0</v>
      </c>
      <c r="W93" s="71">
        <v>0</v>
      </c>
      <c r="X93" s="68">
        <f t="shared" si="15"/>
        <v>0</v>
      </c>
      <c r="Y93" s="29"/>
      <c r="Z93" s="28"/>
      <c r="AA93" s="28"/>
      <c r="AB93" s="28"/>
      <c r="AC93" s="28"/>
      <c r="AD93" s="124"/>
      <c r="AE93" s="137"/>
      <c r="AF93" s="138"/>
      <c r="AG93" s="142"/>
      <c r="AH93" s="10">
        <f t="shared" si="29"/>
        <v>0</v>
      </c>
      <c r="AI93" s="155">
        <f t="shared" si="16"/>
        <v>0</v>
      </c>
      <c r="AJ93" s="156">
        <f t="shared" si="17"/>
        <v>0</v>
      </c>
      <c r="AK93" s="157">
        <f t="shared" si="25"/>
        <v>0</v>
      </c>
    </row>
    <row r="94" spans="1:37" s="27" customFormat="1" ht="31.5" customHeight="1" x14ac:dyDescent="0.2">
      <c r="A94" s="1270">
        <v>28</v>
      </c>
      <c r="B94" s="1244" t="s">
        <v>22</v>
      </c>
      <c r="C94" s="1246"/>
      <c r="D94" s="32" t="s">
        <v>20</v>
      </c>
      <c r="E94" s="31">
        <v>150</v>
      </c>
      <c r="F94" s="31">
        <v>1</v>
      </c>
      <c r="G94" s="31"/>
      <c r="H94" s="50">
        <v>65000</v>
      </c>
      <c r="I94" s="13">
        <v>1.05</v>
      </c>
      <c r="J94" s="30">
        <f>H94*I94</f>
        <v>68250</v>
      </c>
      <c r="K94" s="62">
        <f>J94*F94*12</f>
        <v>819000</v>
      </c>
      <c r="L94" s="65">
        <f t="shared" si="19"/>
        <v>68250</v>
      </c>
      <c r="M94" s="70">
        <f t="shared" ref="M94" si="36">J94*11</f>
        <v>750750</v>
      </c>
      <c r="N94" s="65">
        <f t="shared" si="27"/>
        <v>0</v>
      </c>
      <c r="O94" s="14"/>
      <c r="P94" s="13"/>
      <c r="Q94" s="11"/>
      <c r="R94" s="13"/>
      <c r="S94" s="13"/>
      <c r="T94" s="11"/>
      <c r="U94" s="64"/>
      <c r="V94" s="68"/>
      <c r="W94" s="71"/>
      <c r="X94" s="68"/>
      <c r="Y94" s="29"/>
      <c r="Z94" s="28"/>
      <c r="AA94" s="28"/>
      <c r="AB94" s="28"/>
      <c r="AC94" s="28"/>
      <c r="AD94" s="124"/>
      <c r="AE94" s="137"/>
      <c r="AF94" s="138"/>
      <c r="AG94" s="142"/>
      <c r="AH94" s="10">
        <f t="shared" si="29"/>
        <v>819000</v>
      </c>
      <c r="AI94" s="155">
        <f t="shared" si="16"/>
        <v>68250</v>
      </c>
      <c r="AJ94" s="156">
        <f t="shared" si="17"/>
        <v>750750</v>
      </c>
      <c r="AK94" s="157">
        <f t="shared" si="25"/>
        <v>0</v>
      </c>
    </row>
    <row r="95" spans="1:37" s="27" customFormat="1" x14ac:dyDescent="0.2">
      <c r="A95" s="1272"/>
      <c r="B95" s="1245"/>
      <c r="C95" s="1247"/>
      <c r="D95" s="69" t="s">
        <v>20</v>
      </c>
      <c r="E95" s="31"/>
      <c r="F95" s="31"/>
      <c r="G95" s="31"/>
      <c r="H95" s="50"/>
      <c r="I95" s="13"/>
      <c r="J95" s="30"/>
      <c r="K95" s="62"/>
      <c r="L95" s="65"/>
      <c r="M95" s="70"/>
      <c r="N95" s="65"/>
      <c r="O95" s="14">
        <v>600</v>
      </c>
      <c r="P95" s="13">
        <v>1</v>
      </c>
      <c r="Q95" s="11">
        <v>80000</v>
      </c>
      <c r="R95" s="13">
        <v>1.05</v>
      </c>
      <c r="S95" s="13">
        <v>1.1000000000000001</v>
      </c>
      <c r="T95" s="11">
        <f>Q95*R95*S95</f>
        <v>92400.000000000015</v>
      </c>
      <c r="U95" s="64">
        <f>T95*12</f>
        <v>1108800.0000000002</v>
      </c>
      <c r="V95" s="68">
        <f t="shared" si="13"/>
        <v>92400.000000000015</v>
      </c>
      <c r="W95" s="71">
        <f t="shared" si="14"/>
        <v>1016400.0000000001</v>
      </c>
      <c r="X95" s="68">
        <f t="shared" si="15"/>
        <v>0</v>
      </c>
      <c r="Y95" s="29"/>
      <c r="Z95" s="28"/>
      <c r="AA95" s="28"/>
      <c r="AB95" s="28"/>
      <c r="AC95" s="28"/>
      <c r="AD95" s="124"/>
      <c r="AE95" s="137"/>
      <c r="AF95" s="138"/>
      <c r="AG95" s="142"/>
      <c r="AH95" s="10">
        <f t="shared" si="29"/>
        <v>1108800.0000000002</v>
      </c>
      <c r="AI95" s="155">
        <f t="shared" si="16"/>
        <v>92400.000000000015</v>
      </c>
      <c r="AJ95" s="156">
        <f t="shared" si="17"/>
        <v>1016400.0000000001</v>
      </c>
      <c r="AK95" s="157">
        <f t="shared" si="25"/>
        <v>0</v>
      </c>
    </row>
    <row r="96" spans="1:37" s="27" customFormat="1" ht="14.25" customHeight="1" x14ac:dyDescent="0.2">
      <c r="A96" s="1267">
        <v>29</v>
      </c>
      <c r="B96" s="1259" t="s">
        <v>21</v>
      </c>
      <c r="C96" s="1246"/>
      <c r="D96" s="32" t="s">
        <v>20</v>
      </c>
      <c r="E96" s="31">
        <v>150</v>
      </c>
      <c r="F96" s="31">
        <v>1</v>
      </c>
      <c r="G96" s="31"/>
      <c r="H96" s="50">
        <v>65000</v>
      </c>
      <c r="I96" s="13">
        <v>1.05</v>
      </c>
      <c r="J96" s="30">
        <f>H96*I96</f>
        <v>68250</v>
      </c>
      <c r="K96" s="62">
        <f>J96*F96*12</f>
        <v>819000</v>
      </c>
      <c r="L96" s="65">
        <f t="shared" si="19"/>
        <v>68250</v>
      </c>
      <c r="M96" s="70">
        <f t="shared" ref="M96:M98" si="37">J96*11</f>
        <v>750750</v>
      </c>
      <c r="N96" s="65">
        <f t="shared" si="27"/>
        <v>0</v>
      </c>
      <c r="O96" s="14"/>
      <c r="P96" s="13"/>
      <c r="Q96" s="11"/>
      <c r="R96" s="13"/>
      <c r="S96" s="13"/>
      <c r="T96" s="11"/>
      <c r="U96" s="64"/>
      <c r="V96" s="68"/>
      <c r="W96" s="71"/>
      <c r="X96" s="68"/>
      <c r="Y96" s="29"/>
      <c r="Z96" s="28"/>
      <c r="AA96" s="28"/>
      <c r="AB96" s="28"/>
      <c r="AC96" s="28"/>
      <c r="AD96" s="124"/>
      <c r="AE96" s="137"/>
      <c r="AF96" s="138"/>
      <c r="AG96" s="142"/>
      <c r="AH96" s="10">
        <f t="shared" si="29"/>
        <v>819000</v>
      </c>
      <c r="AI96" s="155">
        <f t="shared" si="16"/>
        <v>68250</v>
      </c>
      <c r="AJ96" s="156">
        <f t="shared" si="17"/>
        <v>750750</v>
      </c>
      <c r="AK96" s="157">
        <f t="shared" si="25"/>
        <v>0</v>
      </c>
    </row>
    <row r="97" spans="1:37" s="27" customFormat="1" x14ac:dyDescent="0.2">
      <c r="A97" s="1268"/>
      <c r="B97" s="1259"/>
      <c r="C97" s="1274"/>
      <c r="D97" s="32" t="s">
        <v>20</v>
      </c>
      <c r="E97" s="31">
        <v>150</v>
      </c>
      <c r="F97" s="31">
        <v>1</v>
      </c>
      <c r="G97" s="31"/>
      <c r="H97" s="50">
        <v>65000</v>
      </c>
      <c r="I97" s="13">
        <v>1.05</v>
      </c>
      <c r="J97" s="30">
        <f>H97*I97</f>
        <v>68250</v>
      </c>
      <c r="K97" s="62">
        <f>J97*F97*12</f>
        <v>819000</v>
      </c>
      <c r="L97" s="65">
        <f t="shared" si="19"/>
        <v>68250</v>
      </c>
      <c r="M97" s="70">
        <f t="shared" si="37"/>
        <v>750750</v>
      </c>
      <c r="N97" s="65">
        <f t="shared" si="27"/>
        <v>0</v>
      </c>
      <c r="O97" s="14"/>
      <c r="P97" s="13"/>
      <c r="Q97" s="11"/>
      <c r="R97" s="13"/>
      <c r="S97" s="13"/>
      <c r="T97" s="11"/>
      <c r="U97" s="64"/>
      <c r="V97" s="68"/>
      <c r="W97" s="71"/>
      <c r="X97" s="68"/>
      <c r="Y97" s="29"/>
      <c r="Z97" s="28"/>
      <c r="AA97" s="28"/>
      <c r="AB97" s="28"/>
      <c r="AC97" s="28"/>
      <c r="AD97" s="124"/>
      <c r="AE97" s="137"/>
      <c r="AF97" s="138"/>
      <c r="AG97" s="142"/>
      <c r="AH97" s="10">
        <f t="shared" si="29"/>
        <v>819000</v>
      </c>
      <c r="AI97" s="155">
        <f t="shared" si="16"/>
        <v>68250</v>
      </c>
      <c r="AJ97" s="156">
        <f t="shared" si="17"/>
        <v>750750</v>
      </c>
      <c r="AK97" s="157">
        <f t="shared" si="25"/>
        <v>0</v>
      </c>
    </row>
    <row r="98" spans="1:37" s="27" customFormat="1" x14ac:dyDescent="0.2">
      <c r="A98" s="1268"/>
      <c r="B98" s="1259"/>
      <c r="C98" s="1274"/>
      <c r="D98" s="32" t="s">
        <v>20</v>
      </c>
      <c r="E98" s="31">
        <v>150</v>
      </c>
      <c r="F98" s="31">
        <v>1</v>
      </c>
      <c r="G98" s="31"/>
      <c r="H98" s="50">
        <v>65000</v>
      </c>
      <c r="I98" s="13">
        <v>1.05</v>
      </c>
      <c r="J98" s="30">
        <f>H98*I98</f>
        <v>68250</v>
      </c>
      <c r="K98" s="62">
        <f>J98*F98*12</f>
        <v>819000</v>
      </c>
      <c r="L98" s="65">
        <f t="shared" si="19"/>
        <v>68250</v>
      </c>
      <c r="M98" s="70">
        <f t="shared" si="37"/>
        <v>750750</v>
      </c>
      <c r="N98" s="65">
        <f t="shared" si="27"/>
        <v>0</v>
      </c>
      <c r="O98" s="14"/>
      <c r="P98" s="13"/>
      <c r="Q98" s="11"/>
      <c r="R98" s="13"/>
      <c r="S98" s="13"/>
      <c r="T98" s="11"/>
      <c r="U98" s="64"/>
      <c r="V98" s="68"/>
      <c r="W98" s="71"/>
      <c r="X98" s="68"/>
      <c r="Y98" s="29"/>
      <c r="Z98" s="28"/>
      <c r="AA98" s="28"/>
      <c r="AB98" s="28"/>
      <c r="AC98" s="28"/>
      <c r="AD98" s="124"/>
      <c r="AE98" s="137"/>
      <c r="AF98" s="138"/>
      <c r="AG98" s="142"/>
      <c r="AH98" s="10">
        <f t="shared" si="29"/>
        <v>819000</v>
      </c>
      <c r="AI98" s="155">
        <f t="shared" si="16"/>
        <v>68250</v>
      </c>
      <c r="AJ98" s="156">
        <f t="shared" si="17"/>
        <v>750750</v>
      </c>
      <c r="AK98" s="157">
        <f t="shared" si="25"/>
        <v>0</v>
      </c>
    </row>
    <row r="99" spans="1:37" s="27" customFormat="1" x14ac:dyDescent="0.2">
      <c r="A99" s="1269"/>
      <c r="B99" s="1259"/>
      <c r="C99" s="1247"/>
      <c r="D99" s="32" t="s">
        <v>19</v>
      </c>
      <c r="E99" s="31"/>
      <c r="F99" s="31"/>
      <c r="G99" s="31"/>
      <c r="H99" s="50"/>
      <c r="I99" s="13"/>
      <c r="J99" s="30"/>
      <c r="K99" s="62"/>
      <c r="L99" s="65"/>
      <c r="M99" s="70"/>
      <c r="N99" s="65"/>
      <c r="O99" s="14">
        <v>1224</v>
      </c>
      <c r="P99" s="13">
        <v>1</v>
      </c>
      <c r="Q99" s="11">
        <v>85000</v>
      </c>
      <c r="R99" s="13">
        <v>1.05</v>
      </c>
      <c r="S99" s="13">
        <v>1.1000000000000001</v>
      </c>
      <c r="T99" s="11">
        <f>Q99*R99*S99</f>
        <v>98175.000000000015</v>
      </c>
      <c r="U99" s="64">
        <f>T99*4</f>
        <v>392700.00000000006</v>
      </c>
      <c r="V99" s="68">
        <v>0</v>
      </c>
      <c r="W99" s="71">
        <f>T99*4</f>
        <v>392700.00000000006</v>
      </c>
      <c r="X99" s="68">
        <f t="shared" si="15"/>
        <v>0</v>
      </c>
      <c r="Y99" s="29"/>
      <c r="Z99" s="28"/>
      <c r="AA99" s="28"/>
      <c r="AB99" s="28"/>
      <c r="AC99" s="28"/>
      <c r="AD99" s="124"/>
      <c r="AE99" s="137"/>
      <c r="AF99" s="138"/>
      <c r="AG99" s="142"/>
      <c r="AH99" s="10">
        <f t="shared" ref="AH99" si="38">K99+U99+AD99</f>
        <v>392700.00000000006</v>
      </c>
      <c r="AI99" s="155">
        <v>0</v>
      </c>
      <c r="AJ99" s="156">
        <f>T99*4</f>
        <v>392700.00000000006</v>
      </c>
      <c r="AK99" s="157">
        <f t="shared" si="25"/>
        <v>0</v>
      </c>
    </row>
    <row r="100" spans="1:37" s="92" customFormat="1" x14ac:dyDescent="0.2">
      <c r="A100" s="83"/>
      <c r="B100" s="84" t="s">
        <v>1</v>
      </c>
      <c r="C100" s="84"/>
      <c r="D100" s="85"/>
      <c r="E100" s="86">
        <f>SUM(E40:E99)</f>
        <v>3316</v>
      </c>
      <c r="F100" s="86">
        <f>SUM(F40:F99)</f>
        <v>21</v>
      </c>
      <c r="G100" s="86">
        <f>SUM(G40:G99)</f>
        <v>0</v>
      </c>
      <c r="H100" s="86"/>
      <c r="I100" s="86">
        <f>SUM(I40:I99)</f>
        <v>22.050000000000008</v>
      </c>
      <c r="J100" s="86"/>
      <c r="K100" s="87">
        <f>SUM(K40:K99)</f>
        <v>16212000</v>
      </c>
      <c r="L100" s="88">
        <f>SUM(L40:L99)</f>
        <v>1328250</v>
      </c>
      <c r="M100" s="89">
        <f>SUM(M40:M99)</f>
        <v>14883750</v>
      </c>
      <c r="N100" s="89">
        <f t="shared" si="27"/>
        <v>0</v>
      </c>
      <c r="O100" s="90">
        <f>SUM(O40:O99)</f>
        <v>21164</v>
      </c>
      <c r="P100" s="86">
        <f>SUM(P40:P99)</f>
        <v>38</v>
      </c>
      <c r="Q100" s="86"/>
      <c r="R100" s="86"/>
      <c r="S100" s="86"/>
      <c r="T100" s="86">
        <f t="shared" ref="T100:Z100" si="39">SUM(T40:T99)</f>
        <v>2961000</v>
      </c>
      <c r="U100" s="87">
        <f t="shared" si="39"/>
        <v>34746600</v>
      </c>
      <c r="V100" s="87">
        <f t="shared" si="39"/>
        <v>2862825</v>
      </c>
      <c r="W100" s="87">
        <f t="shared" si="39"/>
        <v>31883775</v>
      </c>
      <c r="X100" s="87">
        <f t="shared" si="39"/>
        <v>0</v>
      </c>
      <c r="Y100" s="90">
        <f t="shared" si="39"/>
        <v>0</v>
      </c>
      <c r="Z100" s="86">
        <f t="shared" si="39"/>
        <v>0</v>
      </c>
      <c r="AA100" s="86"/>
      <c r="AB100" s="86"/>
      <c r="AC100" s="86"/>
      <c r="AD100" s="87">
        <f t="shared" ref="AD100:AK100" si="40">SUM(AD40:AD99)</f>
        <v>0</v>
      </c>
      <c r="AE100" s="87">
        <f t="shared" si="40"/>
        <v>0</v>
      </c>
      <c r="AF100" s="87">
        <f t="shared" si="40"/>
        <v>0</v>
      </c>
      <c r="AG100" s="114">
        <f t="shared" si="40"/>
        <v>0</v>
      </c>
      <c r="AH100" s="91">
        <f t="shared" si="40"/>
        <v>50958600</v>
      </c>
      <c r="AI100" s="125">
        <f t="shared" si="40"/>
        <v>4191075</v>
      </c>
      <c r="AJ100" s="151">
        <f t="shared" si="40"/>
        <v>46767525</v>
      </c>
      <c r="AK100" s="125">
        <f t="shared" si="40"/>
        <v>0</v>
      </c>
    </row>
    <row r="101" spans="1:37" s="21" customFormat="1" ht="15.6" customHeight="1" x14ac:dyDescent="0.2">
      <c r="A101" s="1297" t="s">
        <v>18</v>
      </c>
      <c r="B101" s="1298"/>
      <c r="C101" s="1298"/>
      <c r="D101" s="1298"/>
      <c r="E101" s="1298"/>
      <c r="F101" s="1298"/>
      <c r="G101" s="1298"/>
      <c r="H101" s="59"/>
      <c r="I101" s="59"/>
      <c r="J101" s="26"/>
      <c r="K101" s="63"/>
      <c r="L101" s="67"/>
      <c r="M101" s="70"/>
      <c r="N101" s="65"/>
      <c r="O101" s="25"/>
      <c r="P101" s="13"/>
      <c r="Q101" s="13"/>
      <c r="R101" s="13"/>
      <c r="S101" s="13"/>
      <c r="T101" s="11"/>
      <c r="U101" s="102"/>
      <c r="V101" s="68"/>
      <c r="W101" s="71"/>
      <c r="X101" s="68"/>
      <c r="Y101" s="24"/>
      <c r="Z101" s="23"/>
      <c r="AA101" s="23"/>
      <c r="AB101" s="23"/>
      <c r="AC101" s="23"/>
      <c r="AD101" s="123"/>
      <c r="AE101" s="135"/>
      <c r="AF101" s="136"/>
      <c r="AG101" s="141"/>
      <c r="AH101" s="22"/>
      <c r="AI101" s="155"/>
      <c r="AJ101" s="156"/>
      <c r="AK101" s="157"/>
    </row>
    <row r="102" spans="1:37" s="9" customFormat="1" ht="38.25" x14ac:dyDescent="0.2">
      <c r="A102" s="18">
        <v>1</v>
      </c>
      <c r="B102" s="20" t="s">
        <v>17</v>
      </c>
      <c r="C102" s="19" t="s">
        <v>16</v>
      </c>
      <c r="D102" s="13" t="s">
        <v>15</v>
      </c>
      <c r="E102" s="11"/>
      <c r="F102" s="11"/>
      <c r="G102" s="11"/>
      <c r="H102" s="11"/>
      <c r="I102" s="13"/>
      <c r="J102" s="11"/>
      <c r="K102" s="64"/>
      <c r="L102" s="68"/>
      <c r="M102" s="70"/>
      <c r="N102" s="65"/>
      <c r="O102" s="15"/>
      <c r="P102" s="11"/>
      <c r="Q102" s="11"/>
      <c r="R102" s="11"/>
      <c r="S102" s="11"/>
      <c r="T102" s="11"/>
      <c r="U102" s="64"/>
      <c r="V102" s="68"/>
      <c r="W102" s="71"/>
      <c r="X102" s="68"/>
      <c r="Y102" s="14">
        <v>0</v>
      </c>
      <c r="Z102" s="13">
        <v>1</v>
      </c>
      <c r="AA102" s="11">
        <v>60000</v>
      </c>
      <c r="AB102" s="12">
        <v>1.05</v>
      </c>
      <c r="AC102" s="11">
        <f t="shared" ref="AC102:AC111" si="41">AA102*AB102</f>
        <v>63000</v>
      </c>
      <c r="AD102" s="64">
        <f t="shared" ref="AD102:AD111" si="42">AC102*12</f>
        <v>756000</v>
      </c>
      <c r="AE102" s="68">
        <f>AC102</f>
        <v>63000</v>
      </c>
      <c r="AF102" s="71">
        <f>AC102*11</f>
        <v>693000</v>
      </c>
      <c r="AG102" s="112">
        <f>AF102+AE102-AD102</f>
        <v>0</v>
      </c>
      <c r="AH102" s="10">
        <f t="shared" ref="AH102:AH111" si="43">K102+U102+AD102</f>
        <v>756000</v>
      </c>
      <c r="AI102" s="155">
        <f>AE102</f>
        <v>63000</v>
      </c>
      <c r="AJ102" s="156">
        <f>AE102*11</f>
        <v>693000</v>
      </c>
      <c r="AK102" s="157">
        <f t="shared" si="25"/>
        <v>0</v>
      </c>
    </row>
    <row r="103" spans="1:37" s="9" customFormat="1" ht="31.5" x14ac:dyDescent="0.2">
      <c r="A103" s="18">
        <v>2</v>
      </c>
      <c r="B103" s="17" t="s">
        <v>14</v>
      </c>
      <c r="C103" s="16" t="s">
        <v>6</v>
      </c>
      <c r="D103" s="13" t="s">
        <v>13</v>
      </c>
      <c r="E103" s="11"/>
      <c r="F103" s="11"/>
      <c r="G103" s="11"/>
      <c r="H103" s="11"/>
      <c r="I103" s="13"/>
      <c r="J103" s="11"/>
      <c r="K103" s="64"/>
      <c r="L103" s="68"/>
      <c r="M103" s="70"/>
      <c r="N103" s="65"/>
      <c r="O103" s="15"/>
      <c r="P103" s="11"/>
      <c r="Q103" s="11"/>
      <c r="R103" s="11"/>
      <c r="S103" s="11"/>
      <c r="T103" s="11"/>
      <c r="U103" s="64"/>
      <c r="V103" s="68"/>
      <c r="W103" s="71"/>
      <c r="X103" s="68"/>
      <c r="Y103" s="14">
        <v>457</v>
      </c>
      <c r="Z103" s="13">
        <v>1</v>
      </c>
      <c r="AA103" s="11">
        <v>70000</v>
      </c>
      <c r="AB103" s="12">
        <v>1.05</v>
      </c>
      <c r="AC103" s="11">
        <f t="shared" si="41"/>
        <v>73500</v>
      </c>
      <c r="AD103" s="64">
        <f t="shared" si="42"/>
        <v>882000</v>
      </c>
      <c r="AE103" s="68">
        <f t="shared" ref="AE103:AE111" si="44">AC103</f>
        <v>73500</v>
      </c>
      <c r="AF103" s="71">
        <f t="shared" ref="AF103:AF111" si="45">AC103*11</f>
        <v>808500</v>
      </c>
      <c r="AG103" s="112">
        <f t="shared" ref="AG103:AG111" si="46">AF103+AE103-AD103</f>
        <v>0</v>
      </c>
      <c r="AH103" s="10">
        <f t="shared" si="43"/>
        <v>882000</v>
      </c>
      <c r="AI103" s="155">
        <f t="shared" ref="AI103:AI111" si="47">AE103</f>
        <v>73500</v>
      </c>
      <c r="AJ103" s="156">
        <f t="shared" ref="AJ103:AJ111" si="48">AE103*11</f>
        <v>808500</v>
      </c>
      <c r="AK103" s="157">
        <f t="shared" si="25"/>
        <v>0</v>
      </c>
    </row>
    <row r="104" spans="1:37" s="9" customFormat="1" x14ac:dyDescent="0.2">
      <c r="A104" s="1290">
        <v>3</v>
      </c>
      <c r="B104" s="1259" t="s">
        <v>12</v>
      </c>
      <c r="C104" s="1259" t="s">
        <v>6</v>
      </c>
      <c r="D104" s="13" t="s">
        <v>11</v>
      </c>
      <c r="E104" s="11"/>
      <c r="F104" s="11"/>
      <c r="G104" s="11"/>
      <c r="H104" s="11"/>
      <c r="I104" s="13"/>
      <c r="J104" s="11"/>
      <c r="K104" s="64"/>
      <c r="L104" s="68"/>
      <c r="M104" s="70"/>
      <c r="N104" s="65"/>
      <c r="O104" s="15"/>
      <c r="P104" s="11"/>
      <c r="Q104" s="11"/>
      <c r="R104" s="11"/>
      <c r="S104" s="11"/>
      <c r="T104" s="11"/>
      <c r="U104" s="64"/>
      <c r="V104" s="68"/>
      <c r="W104" s="71"/>
      <c r="X104" s="68"/>
      <c r="Y104" s="14">
        <v>583</v>
      </c>
      <c r="Z104" s="13">
        <v>1</v>
      </c>
      <c r="AA104" s="11">
        <v>75000</v>
      </c>
      <c r="AB104" s="12">
        <v>1.05</v>
      </c>
      <c r="AC104" s="11">
        <f t="shared" si="41"/>
        <v>78750</v>
      </c>
      <c r="AD104" s="64">
        <f t="shared" si="42"/>
        <v>945000</v>
      </c>
      <c r="AE104" s="68">
        <f t="shared" si="44"/>
        <v>78750</v>
      </c>
      <c r="AF104" s="71">
        <f t="shared" si="45"/>
        <v>866250</v>
      </c>
      <c r="AG104" s="112">
        <f t="shared" si="46"/>
        <v>0</v>
      </c>
      <c r="AH104" s="10">
        <f t="shared" si="43"/>
        <v>945000</v>
      </c>
      <c r="AI104" s="155">
        <f t="shared" si="47"/>
        <v>78750</v>
      </c>
      <c r="AJ104" s="156">
        <f t="shared" si="48"/>
        <v>866250</v>
      </c>
      <c r="AK104" s="157">
        <f t="shared" si="25"/>
        <v>0</v>
      </c>
    </row>
    <row r="105" spans="1:37" s="9" customFormat="1" x14ac:dyDescent="0.2">
      <c r="A105" s="1290"/>
      <c r="B105" s="1259"/>
      <c r="C105" s="1259"/>
      <c r="D105" s="13" t="s">
        <v>10</v>
      </c>
      <c r="E105" s="11"/>
      <c r="F105" s="11"/>
      <c r="G105" s="11"/>
      <c r="H105" s="11"/>
      <c r="I105" s="13"/>
      <c r="J105" s="11"/>
      <c r="K105" s="64"/>
      <c r="L105" s="68"/>
      <c r="M105" s="70"/>
      <c r="N105" s="65"/>
      <c r="O105" s="15"/>
      <c r="P105" s="11"/>
      <c r="Q105" s="11"/>
      <c r="R105" s="11"/>
      <c r="S105" s="11"/>
      <c r="T105" s="11"/>
      <c r="U105" s="64"/>
      <c r="V105" s="68"/>
      <c r="W105" s="71"/>
      <c r="X105" s="68"/>
      <c r="Y105" s="14">
        <v>114</v>
      </c>
      <c r="Z105" s="13">
        <v>1</v>
      </c>
      <c r="AA105" s="11">
        <v>75000</v>
      </c>
      <c r="AB105" s="12">
        <v>1.05</v>
      </c>
      <c r="AC105" s="11">
        <f t="shared" si="41"/>
        <v>78750</v>
      </c>
      <c r="AD105" s="64">
        <f t="shared" si="42"/>
        <v>945000</v>
      </c>
      <c r="AE105" s="68">
        <f t="shared" si="44"/>
        <v>78750</v>
      </c>
      <c r="AF105" s="71">
        <f t="shared" si="45"/>
        <v>866250</v>
      </c>
      <c r="AG105" s="112">
        <f t="shared" si="46"/>
        <v>0</v>
      </c>
      <c r="AH105" s="10">
        <f t="shared" si="43"/>
        <v>945000</v>
      </c>
      <c r="AI105" s="155">
        <f t="shared" si="47"/>
        <v>78750</v>
      </c>
      <c r="AJ105" s="156">
        <f t="shared" si="48"/>
        <v>866250</v>
      </c>
      <c r="AK105" s="157">
        <f t="shared" si="25"/>
        <v>0</v>
      </c>
    </row>
    <row r="106" spans="1:37" s="9" customFormat="1" x14ac:dyDescent="0.2">
      <c r="A106" s="1290"/>
      <c r="B106" s="1259"/>
      <c r="C106" s="1259"/>
      <c r="D106" s="13" t="s">
        <v>9</v>
      </c>
      <c r="E106" s="11"/>
      <c r="F106" s="11"/>
      <c r="G106" s="11"/>
      <c r="H106" s="11"/>
      <c r="I106" s="13"/>
      <c r="J106" s="11"/>
      <c r="K106" s="64"/>
      <c r="L106" s="68"/>
      <c r="M106" s="70"/>
      <c r="N106" s="65"/>
      <c r="O106" s="15"/>
      <c r="P106" s="11"/>
      <c r="Q106" s="11"/>
      <c r="R106" s="11"/>
      <c r="S106" s="11"/>
      <c r="T106" s="11"/>
      <c r="U106" s="64"/>
      <c r="V106" s="68"/>
      <c r="W106" s="71"/>
      <c r="X106" s="68"/>
      <c r="Y106" s="14">
        <v>410</v>
      </c>
      <c r="Z106" s="13">
        <v>1</v>
      </c>
      <c r="AA106" s="11">
        <v>75000</v>
      </c>
      <c r="AB106" s="12">
        <v>1.05</v>
      </c>
      <c r="AC106" s="11">
        <f t="shared" si="41"/>
        <v>78750</v>
      </c>
      <c r="AD106" s="64">
        <f t="shared" si="42"/>
        <v>945000</v>
      </c>
      <c r="AE106" s="68">
        <f t="shared" si="44"/>
        <v>78750</v>
      </c>
      <c r="AF106" s="71">
        <f t="shared" si="45"/>
        <v>866250</v>
      </c>
      <c r="AG106" s="112">
        <f t="shared" si="46"/>
        <v>0</v>
      </c>
      <c r="AH106" s="10">
        <f t="shared" si="43"/>
        <v>945000</v>
      </c>
      <c r="AI106" s="155">
        <f t="shared" si="47"/>
        <v>78750</v>
      </c>
      <c r="AJ106" s="156">
        <f t="shared" si="48"/>
        <v>866250</v>
      </c>
      <c r="AK106" s="157">
        <f t="shared" si="25"/>
        <v>0</v>
      </c>
    </row>
    <row r="107" spans="1:37" s="9" customFormat="1" x14ac:dyDescent="0.2">
      <c r="A107" s="1290"/>
      <c r="B107" s="1259"/>
      <c r="C107" s="1259"/>
      <c r="D107" s="13" t="s">
        <v>8</v>
      </c>
      <c r="E107" s="11"/>
      <c r="F107" s="11"/>
      <c r="G107" s="11"/>
      <c r="H107" s="11"/>
      <c r="I107" s="13"/>
      <c r="J107" s="11"/>
      <c r="K107" s="64"/>
      <c r="L107" s="68"/>
      <c r="M107" s="70"/>
      <c r="N107" s="65"/>
      <c r="O107" s="15"/>
      <c r="P107" s="11"/>
      <c r="Q107" s="11"/>
      <c r="R107" s="11"/>
      <c r="S107" s="11"/>
      <c r="T107" s="11"/>
      <c r="U107" s="64"/>
      <c r="V107" s="68"/>
      <c r="W107" s="71"/>
      <c r="X107" s="68"/>
      <c r="Y107" s="14">
        <v>505</v>
      </c>
      <c r="Z107" s="13">
        <v>1</v>
      </c>
      <c r="AA107" s="11">
        <v>60000</v>
      </c>
      <c r="AB107" s="12">
        <v>1.05</v>
      </c>
      <c r="AC107" s="11">
        <f t="shared" si="41"/>
        <v>63000</v>
      </c>
      <c r="AD107" s="64">
        <f t="shared" si="42"/>
        <v>756000</v>
      </c>
      <c r="AE107" s="68">
        <f t="shared" si="44"/>
        <v>63000</v>
      </c>
      <c r="AF107" s="71">
        <f t="shared" si="45"/>
        <v>693000</v>
      </c>
      <c r="AG107" s="112">
        <f t="shared" si="46"/>
        <v>0</v>
      </c>
      <c r="AH107" s="10">
        <f t="shared" si="43"/>
        <v>756000</v>
      </c>
      <c r="AI107" s="155">
        <f t="shared" si="47"/>
        <v>63000</v>
      </c>
      <c r="AJ107" s="156">
        <f t="shared" si="48"/>
        <v>693000</v>
      </c>
      <c r="AK107" s="157">
        <f t="shared" si="25"/>
        <v>0</v>
      </c>
    </row>
    <row r="108" spans="1:37" s="9" customFormat="1" x14ac:dyDescent="0.2">
      <c r="A108" s="1290">
        <v>4</v>
      </c>
      <c r="B108" s="1259" t="s">
        <v>7</v>
      </c>
      <c r="C108" s="1259" t="s">
        <v>6</v>
      </c>
      <c r="D108" s="13" t="s">
        <v>5</v>
      </c>
      <c r="E108" s="11"/>
      <c r="F108" s="11"/>
      <c r="G108" s="11"/>
      <c r="H108" s="11"/>
      <c r="I108" s="13"/>
      <c r="J108" s="11"/>
      <c r="K108" s="64"/>
      <c r="L108" s="68"/>
      <c r="M108" s="70"/>
      <c r="N108" s="65"/>
      <c r="O108" s="15"/>
      <c r="P108" s="11"/>
      <c r="Q108" s="11"/>
      <c r="R108" s="11"/>
      <c r="S108" s="11"/>
      <c r="T108" s="11"/>
      <c r="U108" s="64"/>
      <c r="V108" s="68"/>
      <c r="W108" s="71"/>
      <c r="X108" s="68"/>
      <c r="Y108" s="14">
        <v>235</v>
      </c>
      <c r="Z108" s="13">
        <v>1</v>
      </c>
      <c r="AA108" s="11">
        <v>75000</v>
      </c>
      <c r="AB108" s="12">
        <v>1.05</v>
      </c>
      <c r="AC108" s="11">
        <f t="shared" si="41"/>
        <v>78750</v>
      </c>
      <c r="AD108" s="64">
        <f t="shared" si="42"/>
        <v>945000</v>
      </c>
      <c r="AE108" s="68">
        <f t="shared" si="44"/>
        <v>78750</v>
      </c>
      <c r="AF108" s="71">
        <f t="shared" si="45"/>
        <v>866250</v>
      </c>
      <c r="AG108" s="112">
        <f t="shared" si="46"/>
        <v>0</v>
      </c>
      <c r="AH108" s="10">
        <f t="shared" si="43"/>
        <v>945000</v>
      </c>
      <c r="AI108" s="155">
        <f t="shared" si="47"/>
        <v>78750</v>
      </c>
      <c r="AJ108" s="156">
        <f t="shared" si="48"/>
        <v>866250</v>
      </c>
      <c r="AK108" s="157">
        <f t="shared" si="25"/>
        <v>0</v>
      </c>
    </row>
    <row r="109" spans="1:37" s="9" customFormat="1" x14ac:dyDescent="0.2">
      <c r="A109" s="1290"/>
      <c r="B109" s="1259"/>
      <c r="C109" s="1259"/>
      <c r="D109" s="13" t="s">
        <v>4</v>
      </c>
      <c r="E109" s="11"/>
      <c r="F109" s="11"/>
      <c r="G109" s="11"/>
      <c r="H109" s="11"/>
      <c r="I109" s="13"/>
      <c r="J109" s="11"/>
      <c r="K109" s="64"/>
      <c r="L109" s="68"/>
      <c r="M109" s="70"/>
      <c r="N109" s="65"/>
      <c r="O109" s="15"/>
      <c r="P109" s="11"/>
      <c r="Q109" s="11"/>
      <c r="R109" s="11"/>
      <c r="S109" s="11"/>
      <c r="T109" s="11"/>
      <c r="U109" s="64"/>
      <c r="V109" s="68"/>
      <c r="W109" s="71"/>
      <c r="X109" s="68"/>
      <c r="Y109" s="14">
        <v>171</v>
      </c>
      <c r="Z109" s="13">
        <v>1</v>
      </c>
      <c r="AA109" s="11">
        <v>75000</v>
      </c>
      <c r="AB109" s="12">
        <v>1.05</v>
      </c>
      <c r="AC109" s="11">
        <f t="shared" si="41"/>
        <v>78750</v>
      </c>
      <c r="AD109" s="64">
        <f t="shared" si="42"/>
        <v>945000</v>
      </c>
      <c r="AE109" s="68">
        <f t="shared" si="44"/>
        <v>78750</v>
      </c>
      <c r="AF109" s="71">
        <f t="shared" si="45"/>
        <v>866250</v>
      </c>
      <c r="AG109" s="112">
        <f t="shared" si="46"/>
        <v>0</v>
      </c>
      <c r="AH109" s="10">
        <f t="shared" si="43"/>
        <v>945000</v>
      </c>
      <c r="AI109" s="155">
        <f t="shared" si="47"/>
        <v>78750</v>
      </c>
      <c r="AJ109" s="156">
        <f t="shared" si="48"/>
        <v>866250</v>
      </c>
      <c r="AK109" s="157">
        <f t="shared" si="25"/>
        <v>0</v>
      </c>
    </row>
    <row r="110" spans="1:37" s="9" customFormat="1" x14ac:dyDescent="0.2">
      <c r="A110" s="1290"/>
      <c r="B110" s="1259"/>
      <c r="C110" s="1259"/>
      <c r="D110" s="13" t="s">
        <v>3</v>
      </c>
      <c r="E110" s="11"/>
      <c r="F110" s="11"/>
      <c r="G110" s="11"/>
      <c r="H110" s="11"/>
      <c r="I110" s="13"/>
      <c r="J110" s="11"/>
      <c r="K110" s="64"/>
      <c r="L110" s="68"/>
      <c r="M110" s="70"/>
      <c r="N110" s="65"/>
      <c r="O110" s="15"/>
      <c r="P110" s="11"/>
      <c r="Q110" s="11"/>
      <c r="R110" s="11"/>
      <c r="S110" s="11"/>
      <c r="T110" s="11"/>
      <c r="U110" s="64"/>
      <c r="V110" s="68"/>
      <c r="W110" s="71"/>
      <c r="X110" s="68"/>
      <c r="Y110" s="14">
        <v>0</v>
      </c>
      <c r="Z110" s="13">
        <v>1</v>
      </c>
      <c r="AA110" s="11">
        <v>60000</v>
      </c>
      <c r="AB110" s="12">
        <v>1.05</v>
      </c>
      <c r="AC110" s="11">
        <f t="shared" si="41"/>
        <v>63000</v>
      </c>
      <c r="AD110" s="64">
        <f t="shared" si="42"/>
        <v>756000</v>
      </c>
      <c r="AE110" s="68">
        <f t="shared" si="44"/>
        <v>63000</v>
      </c>
      <c r="AF110" s="71">
        <f t="shared" si="45"/>
        <v>693000</v>
      </c>
      <c r="AG110" s="112">
        <f t="shared" si="46"/>
        <v>0</v>
      </c>
      <c r="AH110" s="10">
        <f t="shared" si="43"/>
        <v>756000</v>
      </c>
      <c r="AI110" s="155">
        <f t="shared" si="47"/>
        <v>63000</v>
      </c>
      <c r="AJ110" s="156">
        <f t="shared" si="48"/>
        <v>693000</v>
      </c>
      <c r="AK110" s="157">
        <f t="shared" si="25"/>
        <v>0</v>
      </c>
    </row>
    <row r="111" spans="1:37" s="9" customFormat="1" x14ac:dyDescent="0.2">
      <c r="A111" s="1290"/>
      <c r="B111" s="1259"/>
      <c r="C111" s="1259"/>
      <c r="D111" s="13" t="s">
        <v>2</v>
      </c>
      <c r="E111" s="11"/>
      <c r="F111" s="11"/>
      <c r="G111" s="11"/>
      <c r="H111" s="11"/>
      <c r="I111" s="13"/>
      <c r="J111" s="11"/>
      <c r="K111" s="64"/>
      <c r="L111" s="68"/>
      <c r="M111" s="70"/>
      <c r="N111" s="65"/>
      <c r="O111" s="15"/>
      <c r="P111" s="11"/>
      <c r="Q111" s="11"/>
      <c r="R111" s="11"/>
      <c r="S111" s="11"/>
      <c r="T111" s="11"/>
      <c r="U111" s="64"/>
      <c r="V111" s="68"/>
      <c r="W111" s="71"/>
      <c r="X111" s="68"/>
      <c r="Y111" s="14">
        <v>236</v>
      </c>
      <c r="Z111" s="13">
        <v>1</v>
      </c>
      <c r="AA111" s="11">
        <v>75000</v>
      </c>
      <c r="AB111" s="12">
        <v>1.05</v>
      </c>
      <c r="AC111" s="11">
        <f t="shared" si="41"/>
        <v>78750</v>
      </c>
      <c r="AD111" s="64">
        <f t="shared" si="42"/>
        <v>945000</v>
      </c>
      <c r="AE111" s="68">
        <f t="shared" si="44"/>
        <v>78750</v>
      </c>
      <c r="AF111" s="71">
        <f t="shared" si="45"/>
        <v>866250</v>
      </c>
      <c r="AG111" s="112">
        <f t="shared" si="46"/>
        <v>0</v>
      </c>
      <c r="AH111" s="10">
        <f t="shared" si="43"/>
        <v>945000</v>
      </c>
      <c r="AI111" s="155">
        <f t="shared" si="47"/>
        <v>78750</v>
      </c>
      <c r="AJ111" s="156">
        <f t="shared" si="48"/>
        <v>866250</v>
      </c>
      <c r="AK111" s="157">
        <f t="shared" si="25"/>
        <v>0</v>
      </c>
    </row>
    <row r="112" spans="1:37" s="92" customFormat="1" x14ac:dyDescent="0.2">
      <c r="A112" s="72"/>
      <c r="B112" s="84" t="s">
        <v>1</v>
      </c>
      <c r="C112" s="73"/>
      <c r="D112" s="93"/>
      <c r="E112" s="86">
        <f t="shared" ref="E112:Z112" si="49">SUM(E102:E111)</f>
        <v>0</v>
      </c>
      <c r="F112" s="86">
        <f t="shared" si="49"/>
        <v>0</v>
      </c>
      <c r="G112" s="86">
        <f t="shared" si="49"/>
        <v>0</v>
      </c>
      <c r="H112" s="86">
        <f t="shared" si="49"/>
        <v>0</v>
      </c>
      <c r="I112" s="86">
        <f t="shared" si="49"/>
        <v>0</v>
      </c>
      <c r="J112" s="86">
        <f t="shared" si="49"/>
        <v>0</v>
      </c>
      <c r="K112" s="87">
        <f t="shared" si="49"/>
        <v>0</v>
      </c>
      <c r="L112" s="87">
        <f t="shared" si="49"/>
        <v>0</v>
      </c>
      <c r="M112" s="87">
        <f t="shared" si="49"/>
        <v>0</v>
      </c>
      <c r="N112" s="87">
        <f t="shared" si="49"/>
        <v>0</v>
      </c>
      <c r="O112" s="90">
        <f t="shared" si="49"/>
        <v>0</v>
      </c>
      <c r="P112" s="86">
        <f t="shared" si="49"/>
        <v>0</v>
      </c>
      <c r="Q112" s="86">
        <f t="shared" si="49"/>
        <v>0</v>
      </c>
      <c r="R112" s="86">
        <f t="shared" si="49"/>
        <v>0</v>
      </c>
      <c r="S112" s="86">
        <f t="shared" si="49"/>
        <v>0</v>
      </c>
      <c r="T112" s="90">
        <f t="shared" si="49"/>
        <v>0</v>
      </c>
      <c r="U112" s="103">
        <f t="shared" si="49"/>
        <v>0</v>
      </c>
      <c r="V112" s="103">
        <f t="shared" ref="V112:X112" si="50">SUM(V102:V111)</f>
        <v>0</v>
      </c>
      <c r="W112" s="103">
        <f t="shared" si="50"/>
        <v>0</v>
      </c>
      <c r="X112" s="103">
        <f t="shared" si="50"/>
        <v>0</v>
      </c>
      <c r="Y112" s="90">
        <f t="shared" si="49"/>
        <v>2711</v>
      </c>
      <c r="Z112" s="86">
        <f t="shared" si="49"/>
        <v>10</v>
      </c>
      <c r="AA112" s="86"/>
      <c r="AB112" s="86"/>
      <c r="AC112" s="86"/>
      <c r="AD112" s="87">
        <f>SUM(AD102:AD111)</f>
        <v>8820000</v>
      </c>
      <c r="AE112" s="87">
        <f t="shared" ref="AE112:AG112" si="51">SUM(AE102:AE111)</f>
        <v>735000</v>
      </c>
      <c r="AF112" s="87">
        <f t="shared" si="51"/>
        <v>8085000</v>
      </c>
      <c r="AG112" s="114">
        <f t="shared" si="51"/>
        <v>0</v>
      </c>
      <c r="AH112" s="91">
        <f>SUM(AH102:AH111)</f>
        <v>8820000</v>
      </c>
      <c r="AI112" s="125">
        <f t="shared" ref="AI112:AK112" si="52">SUM(AI102:AI111)</f>
        <v>735000</v>
      </c>
      <c r="AJ112" s="151">
        <f t="shared" si="52"/>
        <v>8085000</v>
      </c>
      <c r="AK112" s="125">
        <f t="shared" si="52"/>
        <v>0</v>
      </c>
    </row>
    <row r="113" spans="1:37" s="101" customFormat="1" ht="16.5" thickBot="1" x14ac:dyDescent="0.25">
      <c r="A113" s="94"/>
      <c r="B113" s="95" t="s">
        <v>0</v>
      </c>
      <c r="C113" s="95"/>
      <c r="D113" s="96"/>
      <c r="E113" s="97">
        <f>E38+E100+E112</f>
        <v>9598</v>
      </c>
      <c r="F113" s="97">
        <f>F38+F100+F112</f>
        <v>51</v>
      </c>
      <c r="G113" s="97">
        <f>G38+G100+G112</f>
        <v>2</v>
      </c>
      <c r="H113" s="97"/>
      <c r="I113" s="97"/>
      <c r="J113" s="97"/>
      <c r="K113" s="98">
        <f t="shared" ref="K113:Z113" si="53">K38+K100+K112</f>
        <v>41349000</v>
      </c>
      <c r="L113" s="98">
        <f t="shared" si="53"/>
        <v>3423000</v>
      </c>
      <c r="M113" s="98">
        <f t="shared" si="53"/>
        <v>37926000</v>
      </c>
      <c r="N113" s="98">
        <f t="shared" si="53"/>
        <v>0</v>
      </c>
      <c r="O113" s="99">
        <f t="shared" si="53"/>
        <v>21164</v>
      </c>
      <c r="P113" s="99">
        <f t="shared" si="53"/>
        <v>38</v>
      </c>
      <c r="Q113" s="99">
        <f t="shared" si="53"/>
        <v>0</v>
      </c>
      <c r="R113" s="99">
        <f t="shared" si="53"/>
        <v>0</v>
      </c>
      <c r="S113" s="99">
        <f t="shared" si="53"/>
        <v>0</v>
      </c>
      <c r="T113" s="99">
        <f t="shared" si="53"/>
        <v>2961000</v>
      </c>
      <c r="U113" s="98">
        <f t="shared" si="53"/>
        <v>34746600</v>
      </c>
      <c r="V113" s="98">
        <f t="shared" si="53"/>
        <v>2862825</v>
      </c>
      <c r="W113" s="98">
        <f t="shared" si="53"/>
        <v>31883775</v>
      </c>
      <c r="X113" s="98">
        <f t="shared" si="53"/>
        <v>0</v>
      </c>
      <c r="Y113" s="99">
        <f t="shared" si="53"/>
        <v>2711</v>
      </c>
      <c r="Z113" s="97">
        <f t="shared" si="53"/>
        <v>10</v>
      </c>
      <c r="AA113" s="97"/>
      <c r="AB113" s="97"/>
      <c r="AC113" s="97"/>
      <c r="AD113" s="98">
        <f t="shared" ref="AD113:AK113" si="54">AD38+AD100+AD112</f>
        <v>8820000</v>
      </c>
      <c r="AE113" s="98">
        <f t="shared" si="54"/>
        <v>735000</v>
      </c>
      <c r="AF113" s="98">
        <f t="shared" si="54"/>
        <v>8085000</v>
      </c>
      <c r="AG113" s="115">
        <f t="shared" si="54"/>
        <v>0</v>
      </c>
      <c r="AH113" s="100">
        <f t="shared" si="54"/>
        <v>84915600</v>
      </c>
      <c r="AI113" s="126">
        <f t="shared" si="54"/>
        <v>7020825</v>
      </c>
      <c r="AJ113" s="152">
        <f t="shared" si="54"/>
        <v>77894775</v>
      </c>
      <c r="AK113" s="126">
        <f t="shared" si="54"/>
        <v>0</v>
      </c>
    </row>
    <row r="114" spans="1:37" x14ac:dyDescent="0.25">
      <c r="K114" s="159">
        <f>SUM(K6:K37,K39:K99,K101:K111)</f>
        <v>41349000</v>
      </c>
      <c r="L114" s="159">
        <f>SUM(L6:L37,L39:L99,L101:L111)</f>
        <v>3423000</v>
      </c>
      <c r="M114" s="159">
        <f>SUM(M6:M37,M39:M99,M101:M111)</f>
        <v>37926000</v>
      </c>
      <c r="U114" s="159">
        <f>SUM(U6:U37,U39:U99,U101:U111)</f>
        <v>34746600</v>
      </c>
      <c r="V114" s="159">
        <f>SUM(V6:V37,V39:V99,V101:V111)</f>
        <v>2862825</v>
      </c>
      <c r="W114" s="159">
        <f>SUM(W6:W37,W39:W99,W101:W111)</f>
        <v>31883775</v>
      </c>
      <c r="AD114" s="159">
        <f>SUM(AD6:AD37,AD39:AD99,AD101:AD111)</f>
        <v>8820000</v>
      </c>
      <c r="AE114" s="159">
        <f>SUM(AE6:AE37,AE39:AE99,AE101:AE111)</f>
        <v>735000</v>
      </c>
      <c r="AF114" s="159">
        <f>SUM(AF6:AF37,AF39:AF99,AF101:AF111)</f>
        <v>8085000</v>
      </c>
      <c r="AH114" s="159">
        <f>SUM(AH6:AH37,AH39:AH99,AH101:AH111)</f>
        <v>84915600</v>
      </c>
      <c r="AI114" s="159">
        <f>SUM(AI6:AI37,AI39:AI99,AI101:AI111)</f>
        <v>7020825</v>
      </c>
      <c r="AJ114" s="159">
        <f>SUM(AJ6:AJ37,AJ39:AJ99,AJ101:AJ111)</f>
        <v>77894775</v>
      </c>
    </row>
    <row r="115" spans="1:37" x14ac:dyDescent="0.25">
      <c r="AH115" s="158">
        <f>AH114-AH113</f>
        <v>0</v>
      </c>
      <c r="AI115" s="158">
        <f t="shared" ref="AI115:AJ115" si="55">AI114-AI113</f>
        <v>0</v>
      </c>
      <c r="AJ115" s="158">
        <f t="shared" si="55"/>
        <v>0</v>
      </c>
    </row>
    <row r="116" spans="1:37" x14ac:dyDescent="0.25">
      <c r="AH116" s="158"/>
    </row>
  </sheetData>
  <autoFilter ref="A4:AD113" xr:uid="{00000000-0009-0000-0000-000007000000}"/>
  <mergeCells count="111">
    <mergeCell ref="A94:A95"/>
    <mergeCell ref="A108:A111"/>
    <mergeCell ref="B108:B111"/>
    <mergeCell ref="C108:C111"/>
    <mergeCell ref="A24:A27"/>
    <mergeCell ref="B24:B27"/>
    <mergeCell ref="C24:C27"/>
    <mergeCell ref="A91:A92"/>
    <mergeCell ref="B91:B92"/>
    <mergeCell ref="C91:C92"/>
    <mergeCell ref="A101:G101"/>
    <mergeCell ref="A80:A82"/>
    <mergeCell ref="B80:B82"/>
    <mergeCell ref="C80:C82"/>
    <mergeCell ref="A104:A107"/>
    <mergeCell ref="B104:B107"/>
    <mergeCell ref="C104:C107"/>
    <mergeCell ref="A85:A87"/>
    <mergeCell ref="B85:B87"/>
    <mergeCell ref="C85:C87"/>
    <mergeCell ref="C88:C89"/>
    <mergeCell ref="A72:A74"/>
    <mergeCell ref="B72:B74"/>
    <mergeCell ref="C72:C74"/>
    <mergeCell ref="A58:A59"/>
    <mergeCell ref="B58:B59"/>
    <mergeCell ref="C58:C59"/>
    <mergeCell ref="A76:A77"/>
    <mergeCell ref="A78:A79"/>
    <mergeCell ref="B78:B79"/>
    <mergeCell ref="A60:A64"/>
    <mergeCell ref="B60:B64"/>
    <mergeCell ref="C60:C64"/>
    <mergeCell ref="A65:A68"/>
    <mergeCell ref="B65:B68"/>
    <mergeCell ref="C65:C68"/>
    <mergeCell ref="A69:A71"/>
    <mergeCell ref="B69:B71"/>
    <mergeCell ref="C69:C71"/>
    <mergeCell ref="A50:A51"/>
    <mergeCell ref="B50:B51"/>
    <mergeCell ref="C50:C51"/>
    <mergeCell ref="A54:A55"/>
    <mergeCell ref="B54:B55"/>
    <mergeCell ref="C54:C55"/>
    <mergeCell ref="A56:A57"/>
    <mergeCell ref="B56:B57"/>
    <mergeCell ref="C56:C57"/>
    <mergeCell ref="T3:X3"/>
    <mergeCell ref="O2:X2"/>
    <mergeCell ref="Y2:AG2"/>
    <mergeCell ref="AC3:AG3"/>
    <mergeCell ref="A45:A46"/>
    <mergeCell ref="B45:B46"/>
    <mergeCell ref="C45:C46"/>
    <mergeCell ref="A8:A10"/>
    <mergeCell ref="B8:B10"/>
    <mergeCell ref="C8:C9"/>
    <mergeCell ref="A11:A12"/>
    <mergeCell ref="B11:B12"/>
    <mergeCell ref="C11:C12"/>
    <mergeCell ref="A13:A14"/>
    <mergeCell ref="A2:A4"/>
    <mergeCell ref="B96:B99"/>
    <mergeCell ref="A96:A99"/>
    <mergeCell ref="A88:A90"/>
    <mergeCell ref="B88:B90"/>
    <mergeCell ref="C96:C99"/>
    <mergeCell ref="I3:I4"/>
    <mergeCell ref="A15:A17"/>
    <mergeCell ref="B15:B17"/>
    <mergeCell ref="C15:C17"/>
    <mergeCell ref="A18:A20"/>
    <mergeCell ref="B18:B20"/>
    <mergeCell ref="C18:C20"/>
    <mergeCell ref="A28:A29"/>
    <mergeCell ref="B28:B29"/>
    <mergeCell ref="C28:C29"/>
    <mergeCell ref="A22:A23"/>
    <mergeCell ref="B22:B23"/>
    <mergeCell ref="C22:C23"/>
    <mergeCell ref="A31:A32"/>
    <mergeCell ref="B31:B32"/>
    <mergeCell ref="C31:C32"/>
    <mergeCell ref="A47:A49"/>
    <mergeCell ref="B47:B49"/>
    <mergeCell ref="C47:C49"/>
    <mergeCell ref="AH2:AK3"/>
    <mergeCell ref="B94:B95"/>
    <mergeCell ref="C94:C95"/>
    <mergeCell ref="S3:S4"/>
    <mergeCell ref="B13:B14"/>
    <mergeCell ref="C13:C14"/>
    <mergeCell ref="C6:C7"/>
    <mergeCell ref="O3:O4"/>
    <mergeCell ref="B2:B4"/>
    <mergeCell ref="C2:C4"/>
    <mergeCell ref="D2:D4"/>
    <mergeCell ref="E3:E4"/>
    <mergeCell ref="F3:G3"/>
    <mergeCell ref="R3:R4"/>
    <mergeCell ref="AB3:AB4"/>
    <mergeCell ref="B76:B77"/>
    <mergeCell ref="C76:C77"/>
    <mergeCell ref="Y3:Y4"/>
    <mergeCell ref="Z3:Z4"/>
    <mergeCell ref="A5:G5"/>
    <mergeCell ref="A6:A7"/>
    <mergeCell ref="B6:B7"/>
    <mergeCell ref="E2:N2"/>
    <mergeCell ref="J3:N3"/>
  </mergeCells>
  <pageMargins left="0.15748031496062992" right="0" top="0.19685039370078741" bottom="0.19685039370078741" header="0.51181102362204722" footer="0.51181102362204722"/>
  <pageSetup paperSize="9" scale="35" fitToWidth="2" fitToHeight="2" orientation="landscape" r:id="rId1"/>
  <headerFooter alignWithMargins="0"/>
  <rowBreaks count="2" manualBreakCount="2">
    <brk id="38" max="36" man="1"/>
    <brk id="100" max="36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</vt:i4>
      </vt:variant>
    </vt:vector>
  </HeadingPairs>
  <TitlesOfParts>
    <vt:vector size="23" baseType="lpstr">
      <vt:lpstr>НМЦК</vt:lpstr>
      <vt:lpstr>в учр</vt:lpstr>
      <vt:lpstr>2021</vt:lpstr>
      <vt:lpstr>2019год</vt:lpstr>
      <vt:lpstr>11 мес 2018 </vt:lpstr>
      <vt:lpstr>12 мес 2018</vt:lpstr>
      <vt:lpstr>без ув 11 м_для А.В.</vt:lpstr>
      <vt:lpstr>охрана_231015 </vt:lpstr>
      <vt:lpstr>'11 мес 2018 '!Заголовки_для_печати</vt:lpstr>
      <vt:lpstr>'12 мес 2018'!Заголовки_для_печати</vt:lpstr>
      <vt:lpstr>'2019год'!Заголовки_для_печати</vt:lpstr>
      <vt:lpstr>'2021'!Заголовки_для_печати</vt:lpstr>
      <vt:lpstr>'без ув 11 м_для А.В.'!Заголовки_для_печати</vt:lpstr>
      <vt:lpstr>'в учр'!Заголовки_для_печати</vt:lpstr>
      <vt:lpstr>'охрана_231015 '!Заголовки_для_печати</vt:lpstr>
      <vt:lpstr>'11 мес 2018 '!Область_печати</vt:lpstr>
      <vt:lpstr>'12 мес 2018'!Область_печати</vt:lpstr>
      <vt:lpstr>'2019год'!Область_печати</vt:lpstr>
      <vt:lpstr>'2021'!Область_печати</vt:lpstr>
      <vt:lpstr>'без ув 11 м_для А.В.'!Область_печати</vt:lpstr>
      <vt:lpstr>'в учр'!Область_печати</vt:lpstr>
      <vt:lpstr>НМЦК!Область_печати</vt:lpstr>
      <vt:lpstr>'охрана_231015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EC1</dc:creator>
  <cp:lastModifiedBy>Бушуева ОВ</cp:lastModifiedBy>
  <cp:lastPrinted>2021-11-26T12:43:46Z</cp:lastPrinted>
  <dcterms:created xsi:type="dcterms:W3CDTF">2015-10-20T12:57:24Z</dcterms:created>
  <dcterms:modified xsi:type="dcterms:W3CDTF">2026-05-28T14:59:59Z</dcterms:modified>
</cp:coreProperties>
</file>