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ГЦРПО\2026\Закупки\2 Ед. поставщик\2 Содержание\0000_26 - транспорт 3 - контрагент\1 Служебная\1 Согласование\"/>
    </mc:Choice>
  </mc:AlternateContent>
  <bookViews>
    <workbookView xWindow="0" yWindow="0" windowWidth="20730" windowHeight="11160"/>
  </bookViews>
  <sheets>
    <sheet name="Расчет НМЦК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M3" i="1"/>
  <c r="P3" i="1" s="1"/>
  <c r="R3" i="1" s="1"/>
  <c r="S3" i="1" s="1"/>
  <c r="O3" i="1" l="1"/>
  <c r="J4" i="1"/>
  <c r="K4" i="1"/>
  <c r="M2" i="1" l="1"/>
  <c r="L4" i="1"/>
  <c r="I4" i="1"/>
  <c r="H4" i="1"/>
  <c r="G4" i="1"/>
  <c r="P2" i="1" l="1"/>
  <c r="R2" i="1" l="1"/>
  <c r="S2" i="1" s="1"/>
  <c r="N2" i="1"/>
  <c r="S4" i="1" l="1"/>
  <c r="O2" i="1"/>
</calcChain>
</file>

<file path=xl/sharedStrings.xml><?xml version="1.0" encoding="utf-8"?>
<sst xmlns="http://schemas.openxmlformats.org/spreadsheetml/2006/main" count="28" uniqueCount="25">
  <si>
    <t>Наименование ТРУ</t>
  </si>
  <si>
    <t>Ед. изм.</t>
  </si>
  <si>
    <t>Мин. предложение</t>
  </si>
  <si>
    <t>Ср. квадрат. отклонение</t>
  </si>
  <si>
    <t>Коэфф. вариации</t>
  </si>
  <si>
    <t>Цена для расчета</t>
  </si>
  <si>
    <t>Коэфф. пересчета</t>
  </si>
  <si>
    <t>Итог</t>
  </si>
  <si>
    <t>Кол-во</t>
  </si>
  <si>
    <t>Код КТРУ</t>
  </si>
  <si>
    <t>Ср. арифмет.</t>
  </si>
  <si>
    <t>Источник 4</t>
  </si>
  <si>
    <t>Источник 5</t>
  </si>
  <si>
    <t>Сумма</t>
  </si>
  <si>
    <t>Код ОКПД 2 / ККН</t>
  </si>
  <si>
    <t>Предел. цена / тариф</t>
  </si>
  <si>
    <t>Цена итоговая</t>
  </si>
  <si>
    <t>час</t>
  </si>
  <si>
    <t>49.39.39.000</t>
  </si>
  <si>
    <t>49.39.39.000-00000001</t>
  </si>
  <si>
    <t>Услуга по перевозке пассажиров легковым автомобильным транспортом - Транспортные услуги, ТС тип 1</t>
  </si>
  <si>
    <t>Услуга по перевозке пассажиров легковым автомобильным транспортом - Транспортные услуги, ТС тип 2</t>
  </si>
  <si>
    <t>Источник 1</t>
  </si>
  <si>
    <t>Источник 2</t>
  </si>
  <si>
    <t>Источник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</si>
</sst>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0_ ;[Red]\-#,##0.0000\ "/>
    <numFmt numFmtId="165" formatCode="#,##0.00_ ;[Red]\-#,##0.00\ "/>
    <numFmt numFmtId="166" formatCode="#,##0.0000"/>
  </numFmts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 applyFill="1" applyBorder="1" applyAlignment="1" applyProtection="1">
      <alignment vertical="top"/>
    </xf>
    <xf numFmtId="49" fontId="0" fillId="0" borderId="0" xfId="0" applyNumberFormat="1" applyFill="1" applyBorder="1" applyAlignment="1" applyProtection="1">
      <alignment vertical="top"/>
    </xf>
    <xf numFmtId="0" fontId="0" fillId="0" borderId="0" xfId="0" applyFill="1" applyBorder="1" applyAlignment="1" applyProtection="1">
      <alignment vertical="top"/>
    </xf>
    <xf numFmtId="0" fontId="0" fillId="0" borderId="0" xfId="0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vertical="top" wrapText="1"/>
    </xf>
    <xf numFmtId="164" fontId="0" fillId="0" borderId="0" xfId="0" applyNumberFormat="1" applyFill="1" applyBorder="1" applyAlignment="1" applyProtection="1">
      <alignment vertical="top"/>
    </xf>
    <xf numFmtId="165" fontId="0" fillId="0" borderId="0" xfId="0" applyNumberFormat="1" applyFill="1" applyBorder="1" applyAlignment="1" applyProtection="1">
      <alignment vertical="top"/>
    </xf>
    <xf numFmtId="165" fontId="1" fillId="0" borderId="0" xfId="0" applyNumberFormat="1" applyFont="1" applyFill="1" applyBorder="1" applyAlignment="1" applyProtection="1">
      <alignment vertical="top"/>
    </xf>
    <xf numFmtId="166" fontId="0" fillId="0" borderId="0" xfId="0" applyNumberForma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 wrapText="1"/>
    </xf>
  </cellXfs>
  <cellStyles count="1">
    <cellStyle name="Обычный" xfId="0" builtinId="0"/>
  </cellStyles>
  <dxfs count="46"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#,##0.0000_ ;[Red]\-#,##0.00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00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#,##0.0000_ ;[Red]\-#,##0.0000\ 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</dxf>
    <dxf>
      <numFmt numFmtId="166" formatCode="#,##0.00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color auto="1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numFmt numFmtId="165" formatCode="#,##0.00_ ;[Red]\-#,##0.00\ "/>
      <fill>
        <patternFill patternType="solid">
          <fgColor indexed="64"/>
          <bgColor rgb="FFFFFF00"/>
        </patternFill>
      </fill>
      <alignment horizontal="general" vertical="top" textRotation="0" wrapText="0" indent="0" justifyLastLine="0" shrinkToFit="0" readingOrder="0"/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color auto="1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color auto="1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color auto="1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numFmt numFmtId="165" formatCode="#,##0.00_ ;[Red]\-#,##0.00\ 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1" hidden="0"/>
    </dxf>
    <dxf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numFmt numFmtId="30" formatCode="@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НМЦК" displayName="НМЦК" ref="A1:S4" totalsRowCount="1" headerRowDxfId="45" dataDxfId="44" totalsRowDxfId="43">
  <tableColumns count="19">
    <tableColumn id="23" name="Код ОКПД 2 / ККН" totalsRowLabel="Итог" dataDxfId="42" totalsRowDxfId="18"/>
    <tableColumn id="2" name="Код КТРУ" dataDxfId="41" totalsRowDxfId="17"/>
    <tableColumn id="4" name="Наименование ТРУ" dataDxfId="40" totalsRowDxfId="16"/>
    <tableColumn id="19" name="Ед. изм." dataDxfId="39" totalsRowDxfId="15"/>
    <tableColumn id="15" name="Кол-во" dataDxfId="38" totalsRowDxfId="14"/>
    <tableColumn id="20" name="Предел. цена / тариф" dataDxfId="37" totalsRowDxfId="13"/>
    <tableColumn id="5" name="Источник 1" totalsRowFunction="custom" dataDxfId="36" totalsRowDxfId="12">
      <totalsRowFormula>IFERROR(SUMPRODUCT(НМЦК[Кол-во],НМЦК[Источник 1]),0)</totalsRowFormula>
    </tableColumn>
    <tableColumn id="6" name="Источник 2" totalsRowFunction="custom" dataDxfId="35" totalsRowDxfId="11">
      <totalsRowFormula>IFERROR(SUMPRODUCT(НМЦК[Кол-во],НМЦК[Источник 2]),0)</totalsRowFormula>
    </tableColumn>
    <tableColumn id="22" name="Источник 3" totalsRowFunction="custom" dataDxfId="34" totalsRowDxfId="10">
      <totalsRowFormula>IFERROR(SUMPRODUCT(НМЦК[Кол-во],НМЦК[Источник 3]),0)</totalsRowFormula>
    </tableColumn>
    <tableColumn id="21" name="Источник 4" totalsRowFunction="custom" dataDxfId="33" totalsRowDxfId="9">
      <totalsRowFormula>IFERROR(SUMPRODUCT(НМЦК[Кол-во],НМЦК[Источник 4]),0)</totalsRowFormula>
    </tableColumn>
    <tableColumn id="7" name="Источник 5" totalsRowFunction="custom" dataDxfId="32" totalsRowDxfId="8">
      <totalsRowFormula>IFERROR(SUMPRODUCT(НМЦК[Кол-во],НМЦК[Источник 5]),0)</totalsRowFormula>
    </tableColumn>
    <tableColumn id="14" name="Мин. предложение" totalsRowFunction="custom" dataDxfId="31" totalsRowDxfId="7">
      <totalsRowFormula>IFERROR(SUMPRODUCT(НМЦК[Кол-во],НМЦК[Мин. предложение]),0)</totalsRowFormula>
    </tableColumn>
    <tableColumn id="8" name="Ср. арифмет." dataDxfId="30" totalsRowDxfId="6">
      <calculatedColumnFormula>IFERROR(ROUND(AVERAGE(НМЦК[[#This Row],[Источник 1]:[Источник 5]]),2),"")</calculatedColumnFormula>
    </tableColumn>
    <tableColumn id="11" name="Ср. квадрат. отклонение" dataDxfId="29" totalsRowDxfId="5">
      <calculatedColumnFormula>IFERROR(_xlfn.STDEV.S(НМЦК[[#This Row],[Источник 1]:[Источник 5]]),"")</calculatedColumnFormula>
    </tableColumn>
    <tableColumn id="12" name="Коэфф. вариации" dataDxfId="28" totalsRowDxfId="4">
      <calculatedColumnFormula>IFERROR(НМЦК[[#This Row],[Ср. квадрат. отклонение]]/НМЦК[[#This Row],[Ср. арифмет.]],"")</calculatedColumnFormula>
    </tableColumn>
    <tableColumn id="38" name="Цена для расчета" dataDxfId="27" totalsRowDxfId="3">
      <calculatedColumnFormula>IF(MIN(НМЦК[[#This Row],[Предел. цена / тариф]],НМЦК[[#This Row],[Мин. предложение]],НМЦК[[#This Row],[Ср. арифмет.]])&lt;&gt;0,IF(НМЦК[[#This Row],[Мин. предложение]]&lt;&gt;"",НМЦК[[#This Row],[Мин. предложение]],MIN(НМЦК[[#This Row],[Предел. цена / тариф]],НМЦК[[#This Row],[Ср. арифмет.]])),"")</calculatedColumnFormula>
    </tableColumn>
    <tableColumn id="1" name="Коэфф. пересчета" dataDxfId="26" totalsRowDxfId="2"/>
    <tableColumn id="3" name="Цена итоговая" dataDxfId="25" totalsRowDxfId="1">
      <calculatedColumnFormula>IFERROR(IF(НМЦК[[#This Row],[Коэфф. пересчета]]&gt;0,ROUND(НМЦК[[#This Row],[Цена для расчета]]*НМЦК[[#This Row],[Коэфф. пересчета]],2),НМЦК[[#This Row],[Цена для расчета]]),"")</calculatedColumnFormula>
    </tableColumn>
    <tableColumn id="36" name="Сумма" totalsRowFunction="sum" dataDxfId="24" totalsRowDxfId="0">
      <calculatedColumnFormula>IFERROR(НМЦК[[#This Row],[Кол-во]]*НМЦК[[#This Row],[Цена итоговая]],"")</calculatedColumnFormula>
    </tableColumn>
  </tableColumns>
  <tableStyleInfo name="TableStyleLight18" showFirstColumn="0" showLastColumn="0" showRowStripes="0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"/>
  <sheetViews>
    <sheetView tabSelected="1" zoomScale="85" zoomScaleNormal="85" workbookViewId="0">
      <selection activeCell="I12" sqref="I12:I13"/>
    </sheetView>
  </sheetViews>
  <sheetFormatPr defaultColWidth="9.140625" defaultRowHeight="15" x14ac:dyDescent="0.25"/>
  <cols>
    <col min="1" max="2" width="20.7109375" style="3" customWidth="1"/>
    <col min="3" max="3" width="50.7109375" style="3" customWidth="1"/>
    <col min="4" max="5" width="10.7109375" style="3" customWidth="1"/>
    <col min="6" max="14" width="14.7109375" style="3" customWidth="1"/>
    <col min="15" max="15" width="10.7109375" style="3" customWidth="1"/>
    <col min="16" max="16" width="14.7109375" style="3" customWidth="1"/>
    <col min="17" max="17" width="10.7109375" style="3" customWidth="1"/>
    <col min="18" max="19" width="14.7109375" style="3" customWidth="1"/>
    <col min="20" max="16384" width="9.140625" style="3"/>
  </cols>
  <sheetData>
    <row r="1" spans="1:19" ht="30" x14ac:dyDescent="0.25">
      <c r="A1" s="4" t="s">
        <v>14</v>
      </c>
      <c r="B1" s="4" t="s">
        <v>9</v>
      </c>
      <c r="C1" s="4" t="s">
        <v>0</v>
      </c>
      <c r="D1" s="4" t="s">
        <v>1</v>
      </c>
      <c r="E1" s="4" t="s">
        <v>8</v>
      </c>
      <c r="F1" s="4" t="s">
        <v>15</v>
      </c>
      <c r="G1" s="5" t="s">
        <v>22</v>
      </c>
      <c r="H1" s="5" t="s">
        <v>23</v>
      </c>
      <c r="I1" s="5" t="s">
        <v>24</v>
      </c>
      <c r="J1" s="5" t="s">
        <v>11</v>
      </c>
      <c r="K1" s="5" t="s">
        <v>12</v>
      </c>
      <c r="L1" s="5" t="s">
        <v>2</v>
      </c>
      <c r="M1" s="5" t="s">
        <v>10</v>
      </c>
      <c r="N1" s="4" t="s">
        <v>3</v>
      </c>
      <c r="O1" s="4" t="s">
        <v>4</v>
      </c>
      <c r="P1" s="4" t="s">
        <v>5</v>
      </c>
      <c r="Q1" s="4" t="s">
        <v>6</v>
      </c>
      <c r="R1" s="4" t="s">
        <v>16</v>
      </c>
      <c r="S1" s="4" t="s">
        <v>13</v>
      </c>
    </row>
    <row r="2" spans="1:19" ht="45" x14ac:dyDescent="0.25">
      <c r="A2" s="1" t="s">
        <v>18</v>
      </c>
      <c r="B2" s="1" t="s">
        <v>19</v>
      </c>
      <c r="C2" s="10" t="s">
        <v>20</v>
      </c>
      <c r="D2" s="2" t="s">
        <v>17</v>
      </c>
      <c r="E2" s="7">
        <v>1</v>
      </c>
      <c r="F2" s="7"/>
      <c r="G2" s="8">
        <v>1100</v>
      </c>
      <c r="H2" s="8">
        <v>1300</v>
      </c>
      <c r="I2" s="8">
        <v>1366</v>
      </c>
      <c r="J2" s="8"/>
      <c r="K2" s="8"/>
      <c r="L2" s="8">
        <v>1100</v>
      </c>
      <c r="M2" s="8">
        <f>IFERROR(ROUND(AVERAGE(НМЦК[[#This Row],[Источник 1]:[Источник 5]]),2),"")</f>
        <v>1255.33</v>
      </c>
      <c r="N2" s="7">
        <f>IFERROR(_xlfn.STDEV.S(НМЦК[[#This Row],[Источник 1]:[Источник 5]]),"")</f>
        <v>138.51113072000146</v>
      </c>
      <c r="O2" s="9">
        <f>IFERROR(НМЦК[[#This Row],[Ср. квадрат. отклонение]]/НМЦК[[#This Row],[Ср. арифмет.]],"")</f>
        <v>0.11033842154652679</v>
      </c>
      <c r="P2" s="7">
        <f>IF(MIN(НМЦК[[#This Row],[Предел. цена / тариф]],НМЦК[[#This Row],[Мин. предложение]],НМЦК[[#This Row],[Ср. арифмет.]])&lt;&gt;0,IF(НМЦК[[#This Row],[Мин. предложение]]&lt;&gt;"",НМЦК[[#This Row],[Мин. предложение]],MIN(НМЦК[[#This Row],[Предел. цена / тариф]],НМЦК[[#This Row],[Ср. арифмет.]])),"")</f>
        <v>1100</v>
      </c>
      <c r="Q2" s="6"/>
      <c r="R2" s="7">
        <f>IFERROR(IF(НМЦК[[#This Row],[Коэфф. пересчета]]&gt;0,ROUND(НМЦК[[#This Row],[Цена для расчета]]*НМЦК[[#This Row],[Коэфф. пересчета]],2),НМЦК[[#This Row],[Цена для расчета]]),"")</f>
        <v>1100</v>
      </c>
      <c r="S2" s="7">
        <f>IFERROR(НМЦК[[#This Row],[Кол-во]]*НМЦК[[#This Row],[Цена итоговая]],"")</f>
        <v>1100</v>
      </c>
    </row>
    <row r="3" spans="1:19" ht="45" x14ac:dyDescent="0.25">
      <c r="A3" s="1" t="s">
        <v>18</v>
      </c>
      <c r="B3" s="1" t="s">
        <v>19</v>
      </c>
      <c r="C3" s="10" t="s">
        <v>21</v>
      </c>
      <c r="D3" s="2" t="s">
        <v>17</v>
      </c>
      <c r="E3" s="7">
        <v>1</v>
      </c>
      <c r="F3" s="7"/>
      <c r="G3" s="7">
        <v>1800</v>
      </c>
      <c r="H3" s="7">
        <v>2500</v>
      </c>
      <c r="I3" s="8">
        <v>2000</v>
      </c>
      <c r="J3" s="7"/>
      <c r="K3" s="7"/>
      <c r="L3" s="8">
        <v>1800</v>
      </c>
      <c r="M3" s="8">
        <f>IFERROR(ROUND(AVERAGE(НМЦК[[#This Row],[Источник 1]:[Источник 5]]),2),"")</f>
        <v>2100</v>
      </c>
      <c r="N3" s="7">
        <f>IFERROR(_xlfn.STDEV.S(НМЦК[[#This Row],[Источник 1]:[Источник 5]]),"")</f>
        <v>360.55512754639892</v>
      </c>
      <c r="O3" s="9">
        <f>IFERROR(НМЦК[[#This Row],[Ср. квадрат. отклонение]]/НМЦК[[#This Row],[Ср. арифмет.]],"")</f>
        <v>0.17169291787923757</v>
      </c>
      <c r="P3" s="8">
        <f>IF(MIN(НМЦК[[#This Row],[Предел. цена / тариф]],НМЦК[[#This Row],[Мин. предложение]],НМЦК[[#This Row],[Ср. арифмет.]])&lt;&gt;0,IF(НМЦК[[#This Row],[Мин. предложение]]&lt;&gt;"",НМЦК[[#This Row],[Мин. предложение]],MIN(НМЦК[[#This Row],[Предел. цена / тариф]],НМЦК[[#This Row],[Ср. арифмет.]])),"")</f>
        <v>1800</v>
      </c>
      <c r="Q3" s="6"/>
      <c r="R3" s="7">
        <f>IFERROR(IF(НМЦК[[#This Row],[Коэфф. пересчета]]&gt;0,ROUND(НМЦК[[#This Row],[Цена для расчета]]*НМЦК[[#This Row],[Коэфф. пересчета]],2),НМЦК[[#This Row],[Цена для расчета]]),"")</f>
        <v>1800</v>
      </c>
      <c r="S3" s="7">
        <f>IFERROR(НМЦК[[#This Row],[Кол-во]]*НМЦК[[#This Row],[Цена итоговая]],"")</f>
        <v>1800</v>
      </c>
    </row>
    <row r="4" spans="1:19" x14ac:dyDescent="0.25">
      <c r="A4" s="3" t="s">
        <v>7</v>
      </c>
      <c r="E4" s="7"/>
      <c r="F4" s="7"/>
      <c r="G4" s="7">
        <f>IFERROR(SUMPRODUCT(НМЦК[Кол-во],НМЦК[Источник 1]),0)</f>
        <v>2900</v>
      </c>
      <c r="H4" s="7">
        <f>IFERROR(SUMPRODUCT(НМЦК[Кол-во],НМЦК[Источник 2]),0)</f>
        <v>3800</v>
      </c>
      <c r="I4" s="7">
        <f>IFERROR(SUMPRODUCT(НМЦК[Кол-во],НМЦК[Источник 3]),0)</f>
        <v>3366</v>
      </c>
      <c r="J4" s="7">
        <f>IFERROR(SUMPRODUCT(НМЦК[Кол-во],НМЦК[Источник 4]),0)</f>
        <v>0</v>
      </c>
      <c r="K4" s="7">
        <f>IFERROR(SUMPRODUCT(НМЦК[Кол-во],НМЦК[Источник 5]),0)</f>
        <v>0</v>
      </c>
      <c r="L4" s="7">
        <f>IFERROR(SUMPRODUCT(НМЦК[Кол-во],НМЦК[Мин. предложение]),0)</f>
        <v>2900</v>
      </c>
      <c r="M4" s="7"/>
      <c r="N4" s="7"/>
      <c r="O4" s="9"/>
      <c r="P4" s="7"/>
      <c r="Q4" s="6"/>
      <c r="R4" s="7"/>
      <c r="S4" s="7">
        <f>SUBTOTAL(109,НМЦК[Сумма])</f>
        <v>2900</v>
      </c>
    </row>
  </sheetData>
  <sheetProtection insertRows="0" deleteRows="0" sort="0" autoFilter="0"/>
  <dataConsolidate/>
  <conditionalFormatting sqref="O2:O4">
    <cfRule type="expression" dxfId="23" priority="11">
      <formula>AND($O2&lt;&gt;"",$O2&gt;0.33)</formula>
    </cfRule>
  </conditionalFormatting>
  <conditionalFormatting sqref="L4">
    <cfRule type="expression" dxfId="22" priority="10">
      <formula>AND($F4&lt;&gt;"",$L4&gt;$F4)</formula>
    </cfRule>
  </conditionalFormatting>
  <conditionalFormatting sqref="P2 P4">
    <cfRule type="expression" dxfId="21" priority="12">
      <formula>AND($F2&lt;&gt;"",$P2&gt;$F2)</formula>
    </cfRule>
  </conditionalFormatting>
  <conditionalFormatting sqref="R2 R4">
    <cfRule type="expression" dxfId="20" priority="6">
      <formula>AND($F2&lt;&gt;"",$R2&gt;$F2)</formula>
    </cfRule>
  </conditionalFormatting>
  <conditionalFormatting sqref="R3:S3">
    <cfRule type="expression" dxfId="19" priority="1">
      <formula>AND($F3&lt;&gt;"",$R3&gt;$F3)</formula>
    </cfRule>
  </conditionalFormatting>
  <pageMargins left="0.23622047244094491" right="0.23622047244094491" top="0.74803149606299213" bottom="0.74803149606299213" header="0.31496062992125984" footer="0.31496062992125984"/>
  <pageSetup paperSize="8" scale="6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Исаев Роман Игоревич</dc:creator>
  <cp:lastModifiedBy>Исаев Роман Игоревич</cp:lastModifiedBy>
  <cp:lastPrinted>2026-02-09T13:09:46Z</cp:lastPrinted>
  <dcterms:created xsi:type="dcterms:W3CDTF">2020-08-25T14:12:08Z</dcterms:created>
  <dcterms:modified xsi:type="dcterms:W3CDTF">2026-05-12T09:57:19Z</dcterms:modified>
</cp:coreProperties>
</file>