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R:\0 ГОСУДАРСТВЕННЫЙ ЗАКАЗ\1 Публички\2026\Дворникова А.А\Яна Ю\9. Медикаменты\"/>
    </mc:Choice>
  </mc:AlternateContent>
  <xr:revisionPtr revIDLastSave="0" documentId="13_ncr:1_{1E22B41F-25C1-4B9D-935D-C59E3C44F1AF}" xr6:coauthVersionLast="47" xr6:coauthVersionMax="47" xr10:uidLastSave="{00000000-0000-0000-0000-000000000000}"/>
  <workbookProtection workbookAlgorithmName="SHA-512" workbookHashValue="Poyhc1qq/D6KNoUk2KW9aP/JGheHxmNfnomqvI2RxNivcLfbnvtQ8mvAZ/pNjlJrKJwg1hQY2z5/dbqtrh1gnA==" workbookSaltValue="vRZwVhDPa/Gw3gLdSmfPPg==" workbookSpinCount="100000" lockStructure="1"/>
  <bookViews>
    <workbookView xWindow="-120" yWindow="-120" windowWidth="27840" windowHeight="16440" tabRatio="618" firstSheet="1" activeTab="1" xr2:uid="{00000000-000D-0000-FFFF-FFFF00000000}"/>
  </bookViews>
  <sheets>
    <sheet name="НДС" sheetId="12" state="hidden" r:id="rId1"/>
    <sheet name="ИТОГ" sheetId="7" r:id="rId2"/>
    <sheet name="Свод " sheetId="8" r:id="rId3"/>
    <sheet name="Лист1" sheetId="10" state="hidden" r:id="rId4"/>
    <sheet name="Спецификация" sheetId="3" state="hidden" r:id="rId5"/>
    <sheet name="Анализ рынка" sheetId="1" r:id="rId6"/>
    <sheet name="Контракт" sheetId="11" state="hidden" r:id="rId7"/>
    <sheet name="Тарифный метод" sheetId="4" r:id="rId8"/>
    <sheet name="Средневзвешенная цена" sheetId="5" r:id="rId9"/>
    <sheet name="Референтная цена" sheetId="6" r:id="rId10"/>
    <sheet name="Спецификация 25" sheetId="9" state="hidden" r:id="rId11"/>
    <sheet name="Лист2" sheetId="13" state="hidden" r:id="rId12"/>
  </sheets>
  <externalReferences>
    <externalReference r:id="rId13"/>
  </externalReferences>
  <definedNames>
    <definedName name="_xlnm._FilterDatabase" localSheetId="1" hidden="1">ИТОГ!$B$7:$O$47</definedName>
    <definedName name="_xlnm._FilterDatabase" localSheetId="6" hidden="1">Контракт!$A$1:$E$34</definedName>
    <definedName name="_xlnm._FilterDatabase" localSheetId="3" hidden="1">Лист1!$A$3:$D$34</definedName>
    <definedName name="_xlnm._FilterDatabase" localSheetId="11" hidden="1">Лист2!$A$1:$C$43</definedName>
    <definedName name="_xlnm._FilterDatabase" localSheetId="2" hidden="1">'Свод '!$B$3:$G$151</definedName>
    <definedName name="_xlnm._FilterDatabase" localSheetId="4" hidden="1">Спецификация!$A$1:$R$137</definedName>
    <definedName name="_xlnm._FilterDatabase" localSheetId="10" hidden="1">'Спецификация 25'!$A$1:$J$154</definedName>
    <definedName name="_xlnm._FilterDatabase" localSheetId="8" hidden="1">'Средневзвешенная цена'!$A$5:$P$36</definedName>
    <definedName name="_xlnm._FilterDatabase" localSheetId="7" hidden="1">'Тарифный метод'!$A$3:$L$47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 i="7" l="1"/>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8" i="7"/>
  <c r="D2" i="13"/>
  <c r="D3" i="13"/>
  <c r="D4" i="13"/>
  <c r="D5" i="13"/>
  <c r="D6" i="13"/>
  <c r="D7" i="13"/>
  <c r="D8" i="13"/>
  <c r="D9" i="13"/>
  <c r="D10" i="13"/>
  <c r="D11" i="13"/>
  <c r="D12" i="13"/>
  <c r="D13" i="13"/>
  <c r="D14" i="13"/>
  <c r="D15" i="13"/>
  <c r="D16" i="13"/>
  <c r="D17" i="13"/>
  <c r="D18" i="13"/>
  <c r="D19" i="13"/>
  <c r="D20" i="13"/>
  <c r="D21" i="13"/>
  <c r="D22" i="13"/>
  <c r="D23" i="13"/>
  <c r="D24" i="13"/>
  <c r="D25" i="13"/>
  <c r="D26" i="13"/>
  <c r="D27" i="13"/>
  <c r="D28" i="13"/>
  <c r="D29" i="13"/>
  <c r="D30" i="13"/>
  <c r="D31" i="13"/>
  <c r="D32" i="13"/>
  <c r="D33" i="13"/>
  <c r="D34" i="13"/>
  <c r="D35" i="13"/>
  <c r="D36" i="13"/>
  <c r="D37" i="13"/>
  <c r="D38" i="13"/>
  <c r="D39" i="13"/>
  <c r="D40" i="13"/>
  <c r="D41" i="13"/>
  <c r="D42" i="13"/>
  <c r="D43" i="13"/>
  <c r="D1" i="13"/>
  <c r="AC38" i="1"/>
  <c r="AC36" i="1"/>
  <c r="AC35" i="1"/>
  <c r="AB35" i="1"/>
  <c r="AC34" i="1"/>
  <c r="AB34" i="1"/>
  <c r="AC31" i="1"/>
  <c r="AB31" i="1"/>
  <c r="AC29" i="1"/>
  <c r="W38" i="1"/>
  <c r="W36" i="1"/>
  <c r="W35" i="1"/>
  <c r="V35" i="1"/>
  <c r="W34" i="1"/>
  <c r="V34" i="1"/>
  <c r="W31" i="1"/>
  <c r="V31" i="1"/>
  <c r="W29" i="1"/>
  <c r="AH38" i="1"/>
  <c r="AH36" i="1"/>
  <c r="AH35" i="1"/>
  <c r="AG35" i="1"/>
  <c r="AH34" i="1"/>
  <c r="AG34" i="1"/>
  <c r="AH31" i="1"/>
  <c r="AG31" i="1"/>
  <c r="AH29" i="1"/>
  <c r="AF50" i="1"/>
  <c r="AF49" i="1"/>
  <c r="AF48" i="1"/>
  <c r="AF47" i="1"/>
  <c r="AF46" i="1"/>
  <c r="AF45" i="1"/>
  <c r="AF44" i="1"/>
  <c r="AF43" i="1"/>
  <c r="AF42" i="1"/>
  <c r="AF41" i="1"/>
  <c r="AF40" i="1"/>
  <c r="AF39" i="1"/>
  <c r="AF38" i="1"/>
  <c r="AF36" i="1"/>
  <c r="AF35" i="1"/>
  <c r="AF34" i="1"/>
  <c r="AF33" i="1"/>
  <c r="AF32" i="1"/>
  <c r="AF31" i="1"/>
  <c r="AF30" i="1"/>
  <c r="AF29" i="1"/>
  <c r="AF27" i="1"/>
  <c r="AF25" i="1"/>
  <c r="AF24" i="1"/>
  <c r="AF23" i="1"/>
  <c r="AF22" i="1"/>
  <c r="AF21" i="1"/>
  <c r="AF20" i="1"/>
  <c r="AF19" i="1"/>
  <c r="AF17" i="1"/>
  <c r="AF16" i="1"/>
  <c r="AF15" i="1"/>
  <c r="AF14" i="1"/>
  <c r="AF13" i="1"/>
  <c r="AF11" i="1"/>
  <c r="AF10" i="1"/>
  <c r="AF9" i="1"/>
  <c r="A5" i="4"/>
  <c r="B5" i="4"/>
  <c r="A6" i="4"/>
  <c r="B6" i="4"/>
  <c r="A7" i="4"/>
  <c r="B7" i="4"/>
  <c r="A8" i="4"/>
  <c r="B8" i="4"/>
  <c r="A9" i="4"/>
  <c r="B9" i="4"/>
  <c r="A10" i="4"/>
  <c r="B10" i="4"/>
  <c r="A11" i="4"/>
  <c r="B11" i="4"/>
  <c r="A12" i="4"/>
  <c r="B12" i="4"/>
  <c r="A13" i="4"/>
  <c r="B13" i="4"/>
  <c r="A14" i="4"/>
  <c r="B14" i="4"/>
  <c r="A15" i="4"/>
  <c r="B15" i="4"/>
  <c r="A16" i="4"/>
  <c r="B16" i="4"/>
  <c r="A17" i="4"/>
  <c r="B17" i="4"/>
  <c r="A18" i="4"/>
  <c r="B18" i="4"/>
  <c r="A19" i="4"/>
  <c r="B19" i="4"/>
  <c r="A20" i="4"/>
  <c r="B20" i="4"/>
  <c r="A21" i="4"/>
  <c r="B21" i="4"/>
  <c r="A22" i="4"/>
  <c r="B22" i="4"/>
  <c r="A23" i="4"/>
  <c r="B23" i="4"/>
  <c r="A24" i="4"/>
  <c r="B24" i="4"/>
  <c r="A25" i="4"/>
  <c r="B25" i="4"/>
  <c r="A26" i="4"/>
  <c r="B26" i="4"/>
  <c r="A27" i="4"/>
  <c r="B27" i="4"/>
  <c r="A28" i="4"/>
  <c r="B28" i="4"/>
  <c r="A29" i="4"/>
  <c r="B29" i="4"/>
  <c r="A30" i="4"/>
  <c r="B30" i="4"/>
  <c r="A31" i="4"/>
  <c r="B31" i="4"/>
  <c r="A32" i="4"/>
  <c r="B32" i="4"/>
  <c r="A33" i="4"/>
  <c r="B33" i="4"/>
  <c r="A34" i="4"/>
  <c r="B34" i="4"/>
  <c r="A35" i="4"/>
  <c r="B35" i="4"/>
  <c r="A36" i="4"/>
  <c r="B36" i="4"/>
  <c r="A37" i="4"/>
  <c r="B37" i="4"/>
  <c r="A38" i="4"/>
  <c r="B38" i="4"/>
  <c r="A39" i="4"/>
  <c r="B39" i="4"/>
  <c r="A40" i="4"/>
  <c r="B40" i="4"/>
  <c r="A41" i="4"/>
  <c r="B41" i="4"/>
  <c r="A42" i="4"/>
  <c r="B42" i="4"/>
  <c r="A43" i="4"/>
  <c r="B43" i="4"/>
  <c r="A44" i="4"/>
  <c r="B44" i="4"/>
  <c r="A45" i="4"/>
  <c r="B45" i="4"/>
  <c r="A46" i="4"/>
  <c r="B46" i="4"/>
  <c r="B4" i="4"/>
  <c r="L50" i="1"/>
  <c r="K40" i="1" a="1"/>
  <c r="I40" i="1" a="1"/>
  <c r="J40" i="1" a="1"/>
  <c r="L40" i="1"/>
  <c r="I41" i="1" a="1"/>
  <c r="J41" i="1" a="1"/>
  <c r="K41" i="1" a="1"/>
  <c r="L41" i="1"/>
  <c r="I42" i="1" a="1"/>
  <c r="J42" i="1" a="1"/>
  <c r="K42" i="1" a="1"/>
  <c r="L42" i="1"/>
  <c r="I43" i="1" a="1"/>
  <c r="J43" i="1" a="1"/>
  <c r="K43" i="1" a="1"/>
  <c r="L43" i="1"/>
  <c r="I44" i="1" a="1"/>
  <c r="J44" i="1" a="1"/>
  <c r="K44" i="1" a="1"/>
  <c r="L44" i="1"/>
  <c r="I45" i="1" a="1"/>
  <c r="J45" i="1" a="1"/>
  <c r="K45" i="1" a="1"/>
  <c r="L45" i="1"/>
  <c r="I46" i="1" a="1"/>
  <c r="J46" i="1" a="1"/>
  <c r="K46" i="1" a="1"/>
  <c r="L46" i="1"/>
  <c r="I47" i="1" a="1"/>
  <c r="J47" i="1" a="1"/>
  <c r="K47" i="1" a="1"/>
  <c r="L47" i="1"/>
  <c r="I48" i="1" a="1"/>
  <c r="J48" i="1" a="1"/>
  <c r="K48" i="1" a="1"/>
  <c r="L48" i="1"/>
  <c r="I49" i="1" a="1"/>
  <c r="J49" i="1" a="1"/>
  <c r="K49" i="1" a="1"/>
  <c r="L49" i="1"/>
  <c r="I50" i="1" a="1"/>
  <c r="J50" i="1" a="1"/>
  <c r="K50" i="1" a="1"/>
  <c r="K39" i="1" a="1"/>
  <c r="J39" i="1" a="1"/>
  <c r="I39" i="1" a="1"/>
  <c r="H40" i="1"/>
  <c r="I38" i="1" a="1"/>
  <c r="O48" i="1"/>
  <c r="O49" i="1"/>
  <c r="O50" i="1"/>
  <c r="U48" i="1"/>
  <c r="U49" i="1"/>
  <c r="U50" i="1"/>
  <c r="AA48" i="1"/>
  <c r="AA49" i="1"/>
  <c r="AA50" i="1"/>
  <c r="F48" i="1"/>
  <c r="G48" i="1"/>
  <c r="H48" i="1"/>
  <c r="F49" i="1"/>
  <c r="G49" i="1"/>
  <c r="H49" i="1"/>
  <c r="F50" i="1"/>
  <c r="G50" i="1"/>
  <c r="H50" i="1"/>
  <c r="O39" i="1"/>
  <c r="O40" i="1"/>
  <c r="O41" i="1"/>
  <c r="O42" i="1"/>
  <c r="O43" i="1"/>
  <c r="O44" i="1"/>
  <c r="O45" i="1"/>
  <c r="O46" i="1"/>
  <c r="O47" i="1"/>
  <c r="U39" i="1"/>
  <c r="U40" i="1"/>
  <c r="U41" i="1"/>
  <c r="U42" i="1"/>
  <c r="U43" i="1"/>
  <c r="U44" i="1"/>
  <c r="U45" i="1"/>
  <c r="U46" i="1"/>
  <c r="U47" i="1"/>
  <c r="AA39" i="1"/>
  <c r="AA40" i="1"/>
  <c r="AA41" i="1"/>
  <c r="AA42" i="1"/>
  <c r="AA43" i="1"/>
  <c r="AA44" i="1"/>
  <c r="AA45" i="1"/>
  <c r="AA46" i="1"/>
  <c r="AA47" i="1"/>
  <c r="F39" i="1"/>
  <c r="G39" i="1"/>
  <c r="H39" i="1"/>
  <c r="L39" i="1"/>
  <c r="F40" i="1"/>
  <c r="G40" i="1"/>
  <c r="F41" i="1"/>
  <c r="G41" i="1"/>
  <c r="H41" i="1"/>
  <c r="F42" i="1"/>
  <c r="G42" i="1"/>
  <c r="H42" i="1"/>
  <c r="F43" i="1"/>
  <c r="G43" i="1"/>
  <c r="H43" i="1"/>
  <c r="F44" i="1"/>
  <c r="G44" i="1"/>
  <c r="H44" i="1"/>
  <c r="F45" i="1"/>
  <c r="G45" i="1"/>
  <c r="H45" i="1"/>
  <c r="F46" i="1"/>
  <c r="G46" i="1"/>
  <c r="H46" i="1"/>
  <c r="F47" i="1"/>
  <c r="G47" i="1"/>
  <c r="H47" i="1"/>
  <c r="AF8" i="1"/>
  <c r="C1" i="12"/>
  <c r="C3" i="12" s="1"/>
  <c r="C33" i="12"/>
  <c r="B33" i="12"/>
  <c r="H33" i="12"/>
  <c r="I33" i="12"/>
  <c r="C34" i="12"/>
  <c r="B34" i="12"/>
  <c r="H34" i="12"/>
  <c r="I34" i="12"/>
  <c r="C35" i="12"/>
  <c r="B35" i="12" s="1"/>
  <c r="I35" i="12"/>
  <c r="C8" i="12"/>
  <c r="B8" i="12" s="1"/>
  <c r="I9" i="12"/>
  <c r="C10" i="12"/>
  <c r="B10" i="12" s="1"/>
  <c r="I10" i="12"/>
  <c r="I11" i="12"/>
  <c r="C12" i="12"/>
  <c r="B12" i="12" s="1"/>
  <c r="I12" i="12"/>
  <c r="I13" i="12"/>
  <c r="H14" i="12"/>
  <c r="I15" i="12"/>
  <c r="C16" i="12"/>
  <c r="B16" i="12" s="1"/>
  <c r="I16" i="12"/>
  <c r="I17" i="12"/>
  <c r="C18" i="12"/>
  <c r="B18" i="12" s="1"/>
  <c r="I18" i="12"/>
  <c r="C20" i="12"/>
  <c r="B20" i="12" s="1"/>
  <c r="I20" i="12"/>
  <c r="C22" i="12"/>
  <c r="B22" i="12" s="1"/>
  <c r="I22" i="12"/>
  <c r="H24" i="12"/>
  <c r="I24" i="12"/>
  <c r="C26" i="12"/>
  <c r="B26" i="12" s="1"/>
  <c r="I26" i="12"/>
  <c r="H28" i="12"/>
  <c r="I28" i="12"/>
  <c r="C30" i="12"/>
  <c r="B30" i="12" s="1"/>
  <c r="I30" i="12"/>
  <c r="H32" i="12"/>
  <c r="I32" i="12"/>
  <c r="H38" i="12"/>
  <c r="C37" i="12"/>
  <c r="I36" i="12"/>
  <c r="C36" i="12"/>
  <c r="B36" i="12" s="1"/>
  <c r="I31" i="12"/>
  <c r="C31" i="12"/>
  <c r="B31" i="12" s="1"/>
  <c r="C29" i="12"/>
  <c r="B29" i="12" s="1"/>
  <c r="I27" i="12"/>
  <c r="C27" i="12"/>
  <c r="B27" i="12" s="1"/>
  <c r="C25" i="12"/>
  <c r="B25" i="12" s="1"/>
  <c r="I23" i="12"/>
  <c r="C23" i="12"/>
  <c r="B23" i="12" s="1"/>
  <c r="C21" i="12"/>
  <c r="B21" i="12" s="1"/>
  <c r="I19" i="12"/>
  <c r="C19" i="12"/>
  <c r="B19" i="12" s="1"/>
  <c r="C17" i="12"/>
  <c r="B17" i="12" s="1"/>
  <c r="C15" i="12"/>
  <c r="B15" i="12" s="1"/>
  <c r="I14" i="12"/>
  <c r="C13" i="12"/>
  <c r="B13" i="12" s="1"/>
  <c r="C11" i="12"/>
  <c r="B11" i="12" s="1"/>
  <c r="C9" i="12"/>
  <c r="B9" i="12" s="1"/>
  <c r="I8" i="12"/>
  <c r="I7" i="12"/>
  <c r="C7" i="12"/>
  <c r="B7" i="12" s="1"/>
  <c r="I6" i="12"/>
  <c r="H6" i="12"/>
  <c r="G6" i="12" s="1"/>
  <c r="C6" i="12"/>
  <c r="B6" i="12" s="1"/>
  <c r="D4" i="12"/>
  <c r="AF51" i="1" l="1"/>
  <c r="H43" i="7"/>
  <c r="H45" i="7"/>
  <c r="H42" i="7"/>
  <c r="D148" i="8"/>
  <c r="D144" i="8"/>
  <c r="D120" i="8"/>
  <c r="D140" i="8"/>
  <c r="D132" i="8"/>
  <c r="D128" i="8"/>
  <c r="H44" i="7"/>
  <c r="H40" i="7"/>
  <c r="H41" i="7"/>
  <c r="H39" i="7"/>
  <c r="D152" i="8"/>
  <c r="D136" i="8"/>
  <c r="G46" i="4"/>
  <c r="C35" i="4"/>
  <c r="D35" i="4"/>
  <c r="E35" i="4"/>
  <c r="F35" i="4"/>
  <c r="G35" i="4"/>
  <c r="C36" i="4"/>
  <c r="D36" i="4"/>
  <c r="E36" i="4"/>
  <c r="F36" i="4"/>
  <c r="G36" i="4"/>
  <c r="C37" i="4"/>
  <c r="D37" i="4"/>
  <c r="E37" i="4"/>
  <c r="F37" i="4"/>
  <c r="G37" i="4"/>
  <c r="C38" i="4"/>
  <c r="D38" i="4"/>
  <c r="E38" i="4"/>
  <c r="F38" i="4"/>
  <c r="G38" i="4"/>
  <c r="C39" i="4"/>
  <c r="D39" i="4"/>
  <c r="E39" i="4"/>
  <c r="F39" i="4"/>
  <c r="G39" i="4"/>
  <c r="C40" i="4"/>
  <c r="D40" i="4"/>
  <c r="E40" i="4"/>
  <c r="F40" i="4"/>
  <c r="G40" i="4"/>
  <c r="C41" i="4"/>
  <c r="D41" i="4"/>
  <c r="E41" i="4"/>
  <c r="F41" i="4"/>
  <c r="G41" i="4"/>
  <c r="C42" i="4"/>
  <c r="D42" i="4"/>
  <c r="E42" i="4"/>
  <c r="F42" i="4"/>
  <c r="G42" i="4"/>
  <c r="C43" i="4"/>
  <c r="D43" i="4"/>
  <c r="E43" i="4"/>
  <c r="F43" i="4"/>
  <c r="G43" i="4"/>
  <c r="C44" i="4"/>
  <c r="D44" i="4"/>
  <c r="E44" i="4"/>
  <c r="F44" i="4"/>
  <c r="G44" i="4"/>
  <c r="C45" i="4"/>
  <c r="D45" i="4"/>
  <c r="E45" i="4"/>
  <c r="F45" i="4"/>
  <c r="G45" i="4"/>
  <c r="C46" i="4"/>
  <c r="D46" i="4"/>
  <c r="E46" i="4"/>
  <c r="F46" i="4"/>
  <c r="P50" i="1"/>
  <c r="P42" i="1"/>
  <c r="P39" i="1"/>
  <c r="Q50" i="1"/>
  <c r="Q49" i="1"/>
  <c r="P48" i="1"/>
  <c r="P49" i="1"/>
  <c r="Q48" i="1"/>
  <c r="Q47" i="1"/>
  <c r="Q46" i="1"/>
  <c r="Q45" i="1"/>
  <c r="Q44" i="1"/>
  <c r="Q43" i="1"/>
  <c r="Q41" i="1"/>
  <c r="Q42" i="1"/>
  <c r="Q40" i="1"/>
  <c r="P40" i="1"/>
  <c r="P41" i="1"/>
  <c r="P43" i="1"/>
  <c r="P44" i="1"/>
  <c r="P45" i="1"/>
  <c r="P46" i="1"/>
  <c r="P47" i="1"/>
  <c r="Q39" i="1"/>
  <c r="G34" i="12"/>
  <c r="F34" i="12" s="1"/>
  <c r="G33" i="12"/>
  <c r="F33" i="12" s="1"/>
  <c r="H31" i="12"/>
  <c r="H29" i="12"/>
  <c r="G29" i="12" s="1"/>
  <c r="F29" i="12" s="1"/>
  <c r="H27" i="12"/>
  <c r="H25" i="12"/>
  <c r="G25" i="12" s="1"/>
  <c r="F25" i="12" s="1"/>
  <c r="H23" i="12"/>
  <c r="G23" i="12" s="1"/>
  <c r="F23" i="12" s="1"/>
  <c r="H21" i="12"/>
  <c r="G21" i="12" s="1"/>
  <c r="F21" i="12" s="1"/>
  <c r="H7" i="12"/>
  <c r="H35" i="12"/>
  <c r="I21" i="12"/>
  <c r="I25" i="12"/>
  <c r="I29" i="12"/>
  <c r="H22" i="12"/>
  <c r="G22" i="12" s="1"/>
  <c r="F22" i="12" s="1"/>
  <c r="H26" i="12"/>
  <c r="H30" i="12"/>
  <c r="G30" i="12" s="1"/>
  <c r="F30" i="12" s="1"/>
  <c r="C32" i="12"/>
  <c r="B32" i="12" s="1"/>
  <c r="H13" i="12"/>
  <c r="G13" i="12" s="1"/>
  <c r="F13" i="12" s="1"/>
  <c r="C24" i="12"/>
  <c r="B24" i="12" s="1"/>
  <c r="C28" i="12"/>
  <c r="B28" i="12" s="1"/>
  <c r="E37" i="12"/>
  <c r="H36" i="12"/>
  <c r="G36" i="12" s="1"/>
  <c r="F36" i="12" s="1"/>
  <c r="C14" i="12"/>
  <c r="B14" i="12" s="1"/>
  <c r="G27" i="12"/>
  <c r="F27" i="12" s="1"/>
  <c r="G31" i="12"/>
  <c r="F31" i="12" s="1"/>
  <c r="G32" i="12"/>
  <c r="F32" i="12" s="1"/>
  <c r="G14" i="12"/>
  <c r="F14" i="12" s="1"/>
  <c r="G26" i="12"/>
  <c r="F26" i="12" s="1"/>
  <c r="G24" i="12"/>
  <c r="F24" i="12" s="1"/>
  <c r="G28" i="12"/>
  <c r="F28" i="12" s="1"/>
  <c r="G7" i="12"/>
  <c r="H8" i="12"/>
  <c r="H9" i="12"/>
  <c r="H10" i="12"/>
  <c r="H11" i="12"/>
  <c r="H12" i="12"/>
  <c r="H15" i="12"/>
  <c r="H16" i="12"/>
  <c r="H17" i="12"/>
  <c r="H18" i="12"/>
  <c r="H19" i="12"/>
  <c r="H20" i="12"/>
  <c r="C2" i="12"/>
  <c r="E1" i="12" s="1"/>
  <c r="F6" i="12"/>
  <c r="AG50" i="1" l="1"/>
  <c r="AB50" i="1"/>
  <c r="V50" i="1"/>
  <c r="AG42" i="1"/>
  <c r="AB42" i="1"/>
  <c r="V42" i="1"/>
  <c r="AG39" i="1"/>
  <c r="AB39" i="1"/>
  <c r="V39" i="1"/>
  <c r="AG48" i="1"/>
  <c r="AB48" i="1"/>
  <c r="V48" i="1"/>
  <c r="AG49" i="1"/>
  <c r="AB49" i="1"/>
  <c r="V49" i="1"/>
  <c r="AG40" i="1"/>
  <c r="AB40" i="1"/>
  <c r="V40" i="1"/>
  <c r="AG41" i="1"/>
  <c r="AB41" i="1"/>
  <c r="V41" i="1"/>
  <c r="AG43" i="1"/>
  <c r="AB43" i="1"/>
  <c r="V43" i="1"/>
  <c r="AG44" i="1"/>
  <c r="AB44" i="1"/>
  <c r="V44" i="1"/>
  <c r="AG45" i="1"/>
  <c r="AB45" i="1"/>
  <c r="V45" i="1"/>
  <c r="AG46" i="1"/>
  <c r="AB46" i="1"/>
  <c r="V46" i="1"/>
  <c r="AG47" i="1"/>
  <c r="AB47" i="1"/>
  <c r="V47" i="1"/>
  <c r="AH50" i="1"/>
  <c r="AC50" i="1"/>
  <c r="W50" i="1"/>
  <c r="AH49" i="1"/>
  <c r="W49" i="1"/>
  <c r="AC49" i="1"/>
  <c r="AH48" i="1"/>
  <c r="AC48" i="1"/>
  <c r="W48" i="1"/>
  <c r="AH47" i="1"/>
  <c r="AC47" i="1"/>
  <c r="W47" i="1"/>
  <c r="AH46" i="1"/>
  <c r="AC46" i="1"/>
  <c r="W46" i="1"/>
  <c r="AH45" i="1"/>
  <c r="AC45" i="1"/>
  <c r="W45" i="1"/>
  <c r="AH44" i="1"/>
  <c r="AC44" i="1"/>
  <c r="W44" i="1"/>
  <c r="AH43" i="1"/>
  <c r="W43" i="1"/>
  <c r="AC43" i="1"/>
  <c r="AH41" i="1"/>
  <c r="AC41" i="1"/>
  <c r="W41" i="1"/>
  <c r="AC42" i="1"/>
  <c r="W42" i="1"/>
  <c r="AC40" i="1"/>
  <c r="W40" i="1"/>
  <c r="W39" i="1"/>
  <c r="AC39" i="1"/>
  <c r="J38" i="4"/>
  <c r="AH42" i="1"/>
  <c r="J36" i="4"/>
  <c r="AH40" i="1"/>
  <c r="J35" i="4"/>
  <c r="AH39" i="1"/>
  <c r="I46" i="4"/>
  <c r="I38" i="4"/>
  <c r="I35" i="4"/>
  <c r="J46" i="4"/>
  <c r="J45" i="4"/>
  <c r="I44" i="4"/>
  <c r="I45" i="4"/>
  <c r="K45" i="4" s="1"/>
  <c r="J44" i="4"/>
  <c r="I36" i="4"/>
  <c r="R48" i="1"/>
  <c r="R49" i="1"/>
  <c r="R50" i="1"/>
  <c r="R39" i="1"/>
  <c r="R40" i="1"/>
  <c r="X41" i="1"/>
  <c r="R41" i="1"/>
  <c r="X42" i="1"/>
  <c r="R42" i="1"/>
  <c r="R43" i="1"/>
  <c r="R44" i="1"/>
  <c r="R45" i="1"/>
  <c r="R46" i="1"/>
  <c r="R47" i="1"/>
  <c r="I37" i="12"/>
  <c r="G35" i="12"/>
  <c r="F35" i="12" s="1"/>
  <c r="H37" i="12"/>
  <c r="K37" i="12" s="1"/>
  <c r="G17" i="12"/>
  <c r="F17" i="12" s="1"/>
  <c r="G20" i="12"/>
  <c r="F20" i="12" s="1"/>
  <c r="G16" i="12"/>
  <c r="F16" i="12" s="1"/>
  <c r="G10" i="12"/>
  <c r="F10" i="12" s="1"/>
  <c r="F7" i="12"/>
  <c r="G11" i="12"/>
  <c r="F11" i="12" s="1"/>
  <c r="G19" i="12"/>
  <c r="F19" i="12" s="1"/>
  <c r="G15" i="12"/>
  <c r="F15" i="12" s="1"/>
  <c r="G9" i="12"/>
  <c r="F9" i="12" s="1"/>
  <c r="G18" i="12"/>
  <c r="F18" i="12" s="1"/>
  <c r="G12" i="12"/>
  <c r="F12" i="12" s="1"/>
  <c r="G8" i="12"/>
  <c r="F8" i="12" s="1"/>
  <c r="AI49" i="1" l="1"/>
  <c r="I44" i="7" s="1"/>
  <c r="AI47" i="1"/>
  <c r="I42" i="7" s="1"/>
  <c r="AI46" i="1"/>
  <c r="I41" i="7" s="1"/>
  <c r="AI45" i="1"/>
  <c r="I40" i="7" s="1"/>
  <c r="AI44" i="1"/>
  <c r="I39" i="7" s="1"/>
  <c r="AI43" i="1"/>
  <c r="AI41" i="1"/>
  <c r="AI50" i="1"/>
  <c r="I45" i="7" s="1"/>
  <c r="AI48" i="1"/>
  <c r="I43" i="7" s="1"/>
  <c r="AD49" i="1"/>
  <c r="X49" i="1"/>
  <c r="X43" i="1"/>
  <c r="X44" i="1"/>
  <c r="X45" i="1"/>
  <c r="K35" i="4"/>
  <c r="AI42" i="1"/>
  <c r="AI39" i="1"/>
  <c r="K38" i="4"/>
  <c r="K36" i="4"/>
  <c r="AI40" i="1"/>
  <c r="K46" i="4"/>
  <c r="K44" i="4"/>
  <c r="X46" i="1"/>
  <c r="AD50" i="1"/>
  <c r="X50" i="1"/>
  <c r="X39" i="1"/>
  <c r="X40" i="1"/>
  <c r="AD40" i="1"/>
  <c r="AD41" i="1"/>
  <c r="AD42" i="1"/>
  <c r="AD43" i="1"/>
  <c r="AD44" i="1"/>
  <c r="AD39" i="1"/>
  <c r="AD46" i="1"/>
  <c r="X47" i="1"/>
  <c r="AD45" i="1"/>
  <c r="AD47" i="1"/>
  <c r="AD48" i="1"/>
  <c r="X48" i="1"/>
  <c r="F37" i="12"/>
  <c r="H39" i="12" s="1"/>
  <c r="G37" i="12"/>
  <c r="AE49" i="1" l="1"/>
  <c r="F148" i="8" s="1"/>
  <c r="AE50" i="1"/>
  <c r="F152" i="8" s="1"/>
  <c r="AK49" i="1"/>
  <c r="AL49" i="1"/>
  <c r="AJ49" i="1"/>
  <c r="AL50" i="1"/>
  <c r="AK50" i="1"/>
  <c r="AJ50" i="1"/>
  <c r="AE40" i="1"/>
  <c r="AE39" i="1"/>
  <c r="AE48" i="1"/>
  <c r="F144" i="8" s="1"/>
  <c r="AE41" i="1"/>
  <c r="AE42" i="1"/>
  <c r="F120" i="8" s="1"/>
  <c r="AE43" i="1"/>
  <c r="AE44" i="1"/>
  <c r="F128" i="8" s="1"/>
  <c r="AE45" i="1"/>
  <c r="F132" i="8" s="1"/>
  <c r="AE46" i="1"/>
  <c r="F136" i="8" s="1"/>
  <c r="AE47" i="1"/>
  <c r="F140" i="8" s="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2" i="11"/>
  <c r="O30" i="1"/>
  <c r="AJ40" i="1" l="1"/>
  <c r="AJ39" i="1"/>
  <c r="AL40" i="1"/>
  <c r="AK40" i="1"/>
  <c r="AK39" i="1"/>
  <c r="AL39" i="1"/>
  <c r="AL48" i="1"/>
  <c r="AK48" i="1"/>
  <c r="AJ48" i="1"/>
  <c r="AL41" i="1"/>
  <c r="AK41" i="1"/>
  <c r="AJ41" i="1"/>
  <c r="AL42" i="1"/>
  <c r="AK42" i="1"/>
  <c r="AJ42" i="1"/>
  <c r="AL43" i="1"/>
  <c r="AK43" i="1"/>
  <c r="AJ43" i="1"/>
  <c r="AL44" i="1"/>
  <c r="AK44" i="1"/>
  <c r="AJ44" i="1"/>
  <c r="AL45" i="1"/>
  <c r="AK45" i="1"/>
  <c r="AJ45" i="1"/>
  <c r="AL46" i="1"/>
  <c r="AK46" i="1"/>
  <c r="AJ46" i="1"/>
  <c r="AL47" i="1"/>
  <c r="AK47" i="1"/>
  <c r="AJ47" i="1"/>
  <c r="E33" i="11"/>
  <c r="E34" i="11" s="1"/>
  <c r="I9" i="1" a="1"/>
  <c r="I10" i="1" a="1"/>
  <c r="I11" i="1" a="1"/>
  <c r="I12" i="1" a="1"/>
  <c r="I13" i="1" a="1"/>
  <c r="I14" i="1" a="1"/>
  <c r="I15" i="1" a="1"/>
  <c r="I16" i="1" a="1"/>
  <c r="I17" i="1" a="1"/>
  <c r="I18" i="1" a="1"/>
  <c r="I19" i="1" a="1"/>
  <c r="I20" i="1" a="1"/>
  <c r="I21" i="1" a="1"/>
  <c r="I22" i="1" a="1"/>
  <c r="I23" i="1" a="1"/>
  <c r="I24" i="1" a="1"/>
  <c r="I25" i="1" a="1"/>
  <c r="I26" i="1" a="1"/>
  <c r="I27" i="1" a="1"/>
  <c r="I28" i="1" a="1"/>
  <c r="I29" i="1" a="1"/>
  <c r="I30" i="1" a="1"/>
  <c r="I31" i="1" a="1"/>
  <c r="I32" i="1" a="1"/>
  <c r="I33" i="1" a="1"/>
  <c r="I34" i="1" a="1"/>
  <c r="I35" i="1" a="1"/>
  <c r="I36" i="1" a="1"/>
  <c r="I37" i="1" a="1"/>
  <c r="I8" i="1" a="1"/>
  <c r="J19" i="1" a="1"/>
  <c r="J20" i="1" a="1"/>
  <c r="J21" i="1" a="1"/>
  <c r="J22" i="1" a="1"/>
  <c r="J23" i="1" a="1"/>
  <c r="J24" i="1" a="1"/>
  <c r="J25" i="1" a="1"/>
  <c r="J26" i="1" a="1"/>
  <c r="J27" i="1" a="1"/>
  <c r="J28" i="1" a="1"/>
  <c r="J29" i="1" a="1"/>
  <c r="J30" i="1" a="1"/>
  <c r="J31" i="1" a="1"/>
  <c r="J32" i="1" a="1"/>
  <c r="J33" i="1" a="1"/>
  <c r="J34" i="1" a="1"/>
  <c r="J35" i="1" a="1"/>
  <c r="J36" i="1" a="1"/>
  <c r="J37" i="1" a="1"/>
  <c r="J38" i="1" a="1"/>
  <c r="J9" i="1" a="1"/>
  <c r="J10" i="1" a="1"/>
  <c r="J11" i="1" a="1"/>
  <c r="J12" i="1" a="1"/>
  <c r="J13" i="1" a="1"/>
  <c r="J14" i="1" a="1"/>
  <c r="J15" i="1" a="1"/>
  <c r="J16" i="1" a="1"/>
  <c r="J17" i="1" a="1"/>
  <c r="J18" i="1" a="1"/>
  <c r="J8" i="1" a="1"/>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6" i="5"/>
  <c r="J24" i="4"/>
  <c r="J25" i="4"/>
  <c r="I27" i="4"/>
  <c r="J27" i="4"/>
  <c r="I30" i="4"/>
  <c r="J30" i="4"/>
  <c r="I31" i="4"/>
  <c r="J31" i="4"/>
  <c r="I33" i="4"/>
  <c r="J33" i="4"/>
  <c r="J34" i="4"/>
  <c r="A4" i="4"/>
  <c r="AA14" i="1"/>
  <c r="F133" i="8" l="1"/>
  <c r="G132" i="8" s="1"/>
  <c r="F105" i="8"/>
  <c r="F73" i="8"/>
  <c r="F37" i="8"/>
  <c r="F9" i="8"/>
  <c r="F125" i="8"/>
  <c r="F77" i="8"/>
  <c r="F41" i="8"/>
  <c r="F129" i="8"/>
  <c r="G128" i="8" s="1"/>
  <c r="F101" i="8"/>
  <c r="F45" i="8"/>
  <c r="F13" i="8"/>
  <c r="F137" i="8"/>
  <c r="G136" i="8" s="1"/>
  <c r="F117" i="8"/>
  <c r="F89" i="8"/>
  <c r="F65" i="8"/>
  <c r="F33" i="8"/>
  <c r="F109" i="8"/>
  <c r="F121" i="8"/>
  <c r="G120" i="8" s="1"/>
  <c r="F113" i="8"/>
  <c r="F149" i="8"/>
  <c r="G148" i="8" s="1"/>
  <c r="F153" i="8"/>
  <c r="G152" i="8" s="1"/>
  <c r="F141" i="8"/>
  <c r="G140" i="8" s="1"/>
  <c r="F145" i="8"/>
  <c r="G144" i="8" s="1"/>
  <c r="K27" i="4"/>
  <c r="F81" i="8" s="1"/>
  <c r="K31" i="4"/>
  <c r="F97" i="8" s="1"/>
  <c r="K30" i="4"/>
  <c r="F93" i="8" s="1"/>
  <c r="AH28" i="1"/>
  <c r="AG37" i="1"/>
  <c r="AH37" i="1"/>
  <c r="G8" i="1"/>
  <c r="D4" i="4" s="1"/>
  <c r="O8" i="1"/>
  <c r="AF12" i="1"/>
  <c r="AF18" i="1"/>
  <c r="AF26" i="1"/>
  <c r="AF28" i="1"/>
  <c r="AF37" i="1"/>
  <c r="K10" i="1" a="1"/>
  <c r="K8" i="1" a="1"/>
  <c r="P8" i="1" s="1"/>
  <c r="AG8" i="1" s="1"/>
  <c r="L9" i="1"/>
  <c r="G5" i="4" s="1"/>
  <c r="L10" i="1"/>
  <c r="G6" i="4" s="1"/>
  <c r="L11" i="1"/>
  <c r="G7" i="4" s="1"/>
  <c r="L12" i="1"/>
  <c r="G8" i="4" s="1"/>
  <c r="L13" i="1"/>
  <c r="G9" i="4" s="1"/>
  <c r="L14" i="1"/>
  <c r="G10" i="4" s="1"/>
  <c r="L15" i="1"/>
  <c r="G11" i="4" s="1"/>
  <c r="L16" i="1"/>
  <c r="G12" i="4" s="1"/>
  <c r="L17" i="1"/>
  <c r="G13" i="4" s="1"/>
  <c r="L18" i="1"/>
  <c r="G14" i="4" s="1"/>
  <c r="L19" i="1"/>
  <c r="G15" i="4" s="1"/>
  <c r="L20" i="1"/>
  <c r="G16" i="4" s="1"/>
  <c r="L21" i="1"/>
  <c r="G17" i="4" s="1"/>
  <c r="L22" i="1"/>
  <c r="G18" i="4" s="1"/>
  <c r="L23" i="1"/>
  <c r="G19" i="4" s="1"/>
  <c r="L24" i="1"/>
  <c r="G20" i="4" s="1"/>
  <c r="L25" i="1"/>
  <c r="G21" i="4" s="1"/>
  <c r="L26" i="1"/>
  <c r="G22" i="4" s="1"/>
  <c r="L27" i="1"/>
  <c r="G23" i="4" s="1"/>
  <c r="L28" i="1"/>
  <c r="G24" i="4" s="1"/>
  <c r="L29" i="1"/>
  <c r="G25" i="4" s="1"/>
  <c r="L30" i="1"/>
  <c r="G26" i="4" s="1"/>
  <c r="L31" i="1"/>
  <c r="G27" i="4" s="1"/>
  <c r="L32" i="1"/>
  <c r="G28" i="4" s="1"/>
  <c r="L33" i="1"/>
  <c r="G29" i="4" s="1"/>
  <c r="L34" i="1"/>
  <c r="G30" i="4" s="1"/>
  <c r="L35" i="1"/>
  <c r="G31" i="4" s="1"/>
  <c r="L36" i="1"/>
  <c r="G32" i="4" s="1"/>
  <c r="L37" i="1"/>
  <c r="G33" i="4" s="1"/>
  <c r="L38" i="1"/>
  <c r="G34" i="4" s="1"/>
  <c r="L8" i="1"/>
  <c r="H8" i="7" s="1"/>
  <c r="K9" i="1" a="1"/>
  <c r="K11" i="1" a="1"/>
  <c r="K12" i="1" a="1"/>
  <c r="K13" i="1" a="1"/>
  <c r="K14" i="1" a="1"/>
  <c r="F10" i="4" s="1"/>
  <c r="K15" i="1" a="1"/>
  <c r="K16" i="1" a="1"/>
  <c r="K17" i="1" a="1"/>
  <c r="K18" i="1" a="1"/>
  <c r="F14" i="4" s="1"/>
  <c r="K19" i="1" a="1"/>
  <c r="K20" i="1" a="1"/>
  <c r="K21" i="1" a="1"/>
  <c r="K22" i="1" a="1"/>
  <c r="F18" i="4" s="1"/>
  <c r="K23" i="1" a="1"/>
  <c r="K24" i="1" a="1"/>
  <c r="K25" i="1" a="1"/>
  <c r="K26" i="1" a="1"/>
  <c r="F22" i="4" s="1"/>
  <c r="K27" i="1" a="1"/>
  <c r="K28" i="1" a="1"/>
  <c r="K29" i="1" a="1"/>
  <c r="K30" i="1" a="1"/>
  <c r="F26" i="4" s="1"/>
  <c r="K31" i="1" a="1"/>
  <c r="F27" i="4" s="1"/>
  <c r="K32" i="1" a="1"/>
  <c r="K33" i="1" a="1"/>
  <c r="K34" i="1" a="1"/>
  <c r="F30" i="4" s="1"/>
  <c r="K35" i="1" a="1"/>
  <c r="F31" i="4" s="1"/>
  <c r="K36" i="1" a="1"/>
  <c r="K37" i="1" a="1"/>
  <c r="F33" i="4" s="1"/>
  <c r="K38" i="1" a="1"/>
  <c r="F34" i="4" s="1"/>
  <c r="H9" i="1"/>
  <c r="E5" i="4" s="1"/>
  <c r="H10" i="1"/>
  <c r="E6" i="4" s="1"/>
  <c r="H11" i="1"/>
  <c r="E7" i="4" s="1"/>
  <c r="H12" i="1"/>
  <c r="E8" i="4" s="1"/>
  <c r="H13" i="1"/>
  <c r="E9" i="4" s="1"/>
  <c r="H14" i="1"/>
  <c r="E10" i="4" s="1"/>
  <c r="H15" i="1"/>
  <c r="E11" i="4" s="1"/>
  <c r="H16" i="1"/>
  <c r="H17" i="1"/>
  <c r="H18" i="1"/>
  <c r="H19" i="1"/>
  <c r="H20" i="1"/>
  <c r="H21" i="1"/>
  <c r="H22" i="1"/>
  <c r="H23" i="1"/>
  <c r="H24" i="1"/>
  <c r="H25" i="1"/>
  <c r="E21" i="4" s="1"/>
  <c r="H26" i="1"/>
  <c r="E22" i="4" s="1"/>
  <c r="H27" i="1"/>
  <c r="H28" i="1"/>
  <c r="E24" i="4" s="1"/>
  <c r="H29" i="1"/>
  <c r="E25" i="4" s="1"/>
  <c r="H30" i="1"/>
  <c r="H31" i="1"/>
  <c r="E27" i="4" s="1"/>
  <c r="H32" i="1"/>
  <c r="E28" i="4" s="1"/>
  <c r="H33" i="1"/>
  <c r="H34" i="1"/>
  <c r="E30" i="4" s="1"/>
  <c r="H35" i="1"/>
  <c r="E31" i="4" s="1"/>
  <c r="H36" i="1"/>
  <c r="E32" i="4" s="1"/>
  <c r="H37" i="1"/>
  <c r="E33" i="4" s="1"/>
  <c r="H38" i="1"/>
  <c r="E34" i="4" s="1"/>
  <c r="H8" i="1"/>
  <c r="G9" i="1"/>
  <c r="D5" i="4" s="1"/>
  <c r="G10" i="1"/>
  <c r="D6" i="4" s="1"/>
  <c r="G11" i="1"/>
  <c r="D7" i="4" s="1"/>
  <c r="G12" i="1"/>
  <c r="D8" i="4" s="1"/>
  <c r="G13" i="1"/>
  <c r="D9" i="4" s="1"/>
  <c r="G14" i="1"/>
  <c r="D10" i="4" s="1"/>
  <c r="G15" i="1"/>
  <c r="D11" i="4" s="1"/>
  <c r="G16" i="1"/>
  <c r="D12" i="4" s="1"/>
  <c r="G17" i="1"/>
  <c r="D13" i="4" s="1"/>
  <c r="G18" i="1"/>
  <c r="D14" i="4" s="1"/>
  <c r="G19" i="1"/>
  <c r="D15" i="4" s="1"/>
  <c r="G20" i="1"/>
  <c r="D16" i="4" s="1"/>
  <c r="G21" i="1"/>
  <c r="D17" i="4" s="1"/>
  <c r="G22" i="1"/>
  <c r="D18" i="4" s="1"/>
  <c r="G23" i="1"/>
  <c r="D19" i="4" s="1"/>
  <c r="G24" i="1"/>
  <c r="D20" i="4" s="1"/>
  <c r="G25" i="1"/>
  <c r="D21" i="4" s="1"/>
  <c r="G26" i="1"/>
  <c r="D22" i="4" s="1"/>
  <c r="G27" i="1"/>
  <c r="D23" i="4" s="1"/>
  <c r="G28" i="1"/>
  <c r="D24" i="4" s="1"/>
  <c r="G29" i="1"/>
  <c r="D25" i="4" s="1"/>
  <c r="G30" i="1"/>
  <c r="D26" i="4" s="1"/>
  <c r="G31" i="1"/>
  <c r="D27" i="4" s="1"/>
  <c r="G32" i="1"/>
  <c r="D28" i="4" s="1"/>
  <c r="G33" i="1"/>
  <c r="D29" i="4" s="1"/>
  <c r="G34" i="1"/>
  <c r="D30" i="4" s="1"/>
  <c r="G35" i="1"/>
  <c r="D31" i="4" s="1"/>
  <c r="G36" i="1"/>
  <c r="D32" i="4" s="1"/>
  <c r="G37" i="1"/>
  <c r="D33" i="4" s="1"/>
  <c r="G38" i="1"/>
  <c r="D34" i="4" s="1"/>
  <c r="F8" i="1"/>
  <c r="F10" i="1"/>
  <c r="C6" i="4" s="1"/>
  <c r="F11" i="1"/>
  <c r="C7" i="4" s="1"/>
  <c r="F12" i="1"/>
  <c r="C8" i="4" s="1"/>
  <c r="F13" i="1"/>
  <c r="C9" i="4" s="1"/>
  <c r="F14" i="1"/>
  <c r="C10" i="4" s="1"/>
  <c r="F15" i="1"/>
  <c r="C11" i="4" s="1"/>
  <c r="F16" i="1"/>
  <c r="C12" i="4" s="1"/>
  <c r="F17" i="1"/>
  <c r="C13" i="4" s="1"/>
  <c r="F18" i="1"/>
  <c r="C14" i="4" s="1"/>
  <c r="F19" i="1"/>
  <c r="C15" i="4" s="1"/>
  <c r="F20" i="1"/>
  <c r="C16" i="4" s="1"/>
  <c r="F21" i="1"/>
  <c r="C17" i="4" s="1"/>
  <c r="F22" i="1"/>
  <c r="C18" i="4" s="1"/>
  <c r="F23" i="1"/>
  <c r="C19" i="4" s="1"/>
  <c r="F24" i="1"/>
  <c r="C20" i="4" s="1"/>
  <c r="F25" i="1"/>
  <c r="C21" i="4" s="1"/>
  <c r="F26" i="1"/>
  <c r="C22" i="4" s="1"/>
  <c r="F27" i="1"/>
  <c r="C23" i="4" s="1"/>
  <c r="F28" i="1"/>
  <c r="C24" i="4" s="1"/>
  <c r="F29" i="1"/>
  <c r="C25" i="4" s="1"/>
  <c r="F30" i="1"/>
  <c r="C26" i="4" s="1"/>
  <c r="F31" i="1"/>
  <c r="C27" i="4" s="1"/>
  <c r="F32" i="1"/>
  <c r="C28" i="4" s="1"/>
  <c r="F33" i="1"/>
  <c r="C29" i="4" s="1"/>
  <c r="F34" i="1"/>
  <c r="C30" i="4" s="1"/>
  <c r="F35" i="1"/>
  <c r="C31" i="4" s="1"/>
  <c r="F36" i="1"/>
  <c r="C32" i="4" s="1"/>
  <c r="F37" i="1"/>
  <c r="C33" i="4" s="1"/>
  <c r="F38" i="1"/>
  <c r="F9" i="1"/>
  <c r="C5" i="4" s="1"/>
  <c r="C4" i="4" l="1"/>
  <c r="C34" i="4"/>
  <c r="D124" i="8"/>
  <c r="P10" i="1"/>
  <c r="F6" i="4"/>
  <c r="P9" i="1"/>
  <c r="F5" i="4"/>
  <c r="P11" i="1"/>
  <c r="F7" i="4"/>
  <c r="P12" i="1"/>
  <c r="F8" i="4"/>
  <c r="P13" i="1"/>
  <c r="F9" i="4"/>
  <c r="P15" i="1"/>
  <c r="F11" i="4"/>
  <c r="P16" i="1"/>
  <c r="F12" i="4"/>
  <c r="P17" i="1"/>
  <c r="F13" i="4"/>
  <c r="P19" i="1"/>
  <c r="F15" i="4"/>
  <c r="P20" i="1"/>
  <c r="F16" i="4"/>
  <c r="P21" i="1"/>
  <c r="F17" i="4"/>
  <c r="P23" i="1"/>
  <c r="F19" i="4"/>
  <c r="P24" i="1"/>
  <c r="F20" i="4"/>
  <c r="P25" i="1"/>
  <c r="F21" i="4"/>
  <c r="P27" i="1"/>
  <c r="F23" i="4"/>
  <c r="P28" i="1"/>
  <c r="F24" i="4"/>
  <c r="P29" i="1"/>
  <c r="F25" i="4"/>
  <c r="P32" i="1"/>
  <c r="F28" i="4"/>
  <c r="P33" i="1"/>
  <c r="F29" i="4"/>
  <c r="P36" i="1"/>
  <c r="F32" i="4"/>
  <c r="Q16" i="1"/>
  <c r="E12" i="4"/>
  <c r="Q17" i="1"/>
  <c r="E13" i="4"/>
  <c r="Q18" i="1"/>
  <c r="E14" i="4"/>
  <c r="Q19" i="1"/>
  <c r="E15" i="4"/>
  <c r="Q20" i="1"/>
  <c r="E16" i="4"/>
  <c r="Q21" i="1"/>
  <c r="E17" i="4"/>
  <c r="Q22" i="1"/>
  <c r="E18" i="4"/>
  <c r="Q23" i="1"/>
  <c r="E19" i="4"/>
  <c r="Q24" i="1"/>
  <c r="E20" i="4"/>
  <c r="Q27" i="1"/>
  <c r="E23" i="4"/>
  <c r="Q30" i="1"/>
  <c r="E26" i="4"/>
  <c r="Q33" i="1"/>
  <c r="E29" i="4"/>
  <c r="Q13" i="1"/>
  <c r="Q26" i="1"/>
  <c r="Q14" i="1"/>
  <c r="Q25" i="1"/>
  <c r="Q32" i="1"/>
  <c r="Q12" i="1"/>
  <c r="AH12" i="1" s="1"/>
  <c r="Q11" i="1"/>
  <c r="G34" i="5"/>
  <c r="H36" i="7"/>
  <c r="G26" i="5"/>
  <c r="H28" i="7"/>
  <c r="G22" i="5"/>
  <c r="H24" i="7"/>
  <c r="G14" i="5"/>
  <c r="H16" i="7"/>
  <c r="G33" i="5"/>
  <c r="H35" i="7"/>
  <c r="G29" i="5"/>
  <c r="H31" i="7"/>
  <c r="G25" i="5"/>
  <c r="H27" i="7"/>
  <c r="G21" i="5"/>
  <c r="H23" i="7"/>
  <c r="G17" i="5"/>
  <c r="H19" i="7"/>
  <c r="G13" i="5"/>
  <c r="H15" i="7"/>
  <c r="G9" i="5"/>
  <c r="H11" i="7"/>
  <c r="G30" i="5"/>
  <c r="H32" i="7"/>
  <c r="G18" i="5"/>
  <c r="H20" i="7"/>
  <c r="G10" i="5"/>
  <c r="H12" i="7"/>
  <c r="Q15" i="1"/>
  <c r="G36" i="5"/>
  <c r="H38" i="7"/>
  <c r="G32" i="5"/>
  <c r="H34" i="7"/>
  <c r="G28" i="5"/>
  <c r="H30" i="7"/>
  <c r="G24" i="5"/>
  <c r="H26" i="7"/>
  <c r="G20" i="5"/>
  <c r="H22" i="7"/>
  <c r="G16" i="5"/>
  <c r="H18" i="7"/>
  <c r="G12" i="5"/>
  <c r="H14" i="7"/>
  <c r="G8" i="5"/>
  <c r="H10" i="7"/>
  <c r="G35" i="5"/>
  <c r="H37" i="7"/>
  <c r="G31" i="5"/>
  <c r="H33" i="7"/>
  <c r="G27" i="5"/>
  <c r="H29" i="7"/>
  <c r="G23" i="5"/>
  <c r="H25" i="7"/>
  <c r="G19" i="5"/>
  <c r="H21" i="7"/>
  <c r="G15" i="5"/>
  <c r="H17" i="7"/>
  <c r="G11" i="5"/>
  <c r="H13" i="7"/>
  <c r="G7" i="5"/>
  <c r="H9" i="7"/>
  <c r="E36" i="5"/>
  <c r="E32" i="5"/>
  <c r="E28" i="5"/>
  <c r="E24" i="5"/>
  <c r="E20" i="5"/>
  <c r="E16" i="5"/>
  <c r="E12" i="5"/>
  <c r="E8" i="5"/>
  <c r="E35" i="5"/>
  <c r="E27" i="5"/>
  <c r="E19" i="5"/>
  <c r="E11" i="5"/>
  <c r="E34" i="5"/>
  <c r="E30" i="5"/>
  <c r="E26" i="5"/>
  <c r="E22" i="5"/>
  <c r="E18" i="5"/>
  <c r="E14" i="5"/>
  <c r="E10" i="5"/>
  <c r="E31" i="5"/>
  <c r="E23" i="5"/>
  <c r="E15" i="5"/>
  <c r="E7" i="5"/>
  <c r="E33" i="5"/>
  <c r="E29" i="5"/>
  <c r="E25" i="5"/>
  <c r="E21" i="5"/>
  <c r="E17" i="5"/>
  <c r="E13" i="5"/>
  <c r="E9" i="5"/>
  <c r="V8" i="1"/>
  <c r="I4" i="4"/>
  <c r="Q8" i="1"/>
  <c r="Q10" i="1"/>
  <c r="Q9" i="1"/>
  <c r="P38" i="1"/>
  <c r="P30" i="1"/>
  <c r="P26" i="1"/>
  <c r="P22" i="1"/>
  <c r="P18" i="1"/>
  <c r="P14" i="1"/>
  <c r="F66" i="3"/>
  <c r="E66" i="3"/>
  <c r="AG10" i="1" l="1"/>
  <c r="AB10" i="1"/>
  <c r="V10" i="1"/>
  <c r="AG9" i="1"/>
  <c r="V9" i="1"/>
  <c r="AB9" i="1"/>
  <c r="AG11" i="1"/>
  <c r="V11" i="1"/>
  <c r="AB11" i="1"/>
  <c r="AG13" i="1"/>
  <c r="AB13" i="1"/>
  <c r="V13" i="1"/>
  <c r="AG15" i="1"/>
  <c r="V15" i="1"/>
  <c r="AB15" i="1"/>
  <c r="AG16" i="1"/>
  <c r="V16" i="1"/>
  <c r="AB16" i="1"/>
  <c r="AG17" i="1"/>
  <c r="V17" i="1"/>
  <c r="AB17" i="1"/>
  <c r="AG19" i="1"/>
  <c r="V19" i="1"/>
  <c r="AB19" i="1"/>
  <c r="AG20" i="1"/>
  <c r="V20" i="1"/>
  <c r="AB20" i="1"/>
  <c r="AG21" i="1"/>
  <c r="V21" i="1"/>
  <c r="AB21" i="1"/>
  <c r="AG23" i="1"/>
  <c r="AB23" i="1"/>
  <c r="V23" i="1"/>
  <c r="AG24" i="1"/>
  <c r="V24" i="1"/>
  <c r="AB24" i="1"/>
  <c r="AG25" i="1"/>
  <c r="V25" i="1"/>
  <c r="AB25" i="1"/>
  <c r="AG27" i="1"/>
  <c r="V27" i="1"/>
  <c r="AB27" i="1"/>
  <c r="AG29" i="1"/>
  <c r="V29" i="1"/>
  <c r="AB29" i="1"/>
  <c r="AG32" i="1"/>
  <c r="V32" i="1"/>
  <c r="AB32" i="1"/>
  <c r="AG33" i="1"/>
  <c r="V33" i="1"/>
  <c r="AB33" i="1"/>
  <c r="AG36" i="1"/>
  <c r="V36" i="1"/>
  <c r="AB36" i="1"/>
  <c r="AG38" i="1"/>
  <c r="AB38" i="1"/>
  <c r="V38" i="1"/>
  <c r="AG30" i="1"/>
  <c r="AB30" i="1"/>
  <c r="V30" i="1"/>
  <c r="AG22" i="1"/>
  <c r="AB22" i="1"/>
  <c r="V22" i="1"/>
  <c r="AG14" i="1"/>
  <c r="V14" i="1"/>
  <c r="AB14" i="1"/>
  <c r="AH16" i="1"/>
  <c r="AC16" i="1"/>
  <c r="W16" i="1"/>
  <c r="AH17" i="1"/>
  <c r="W17" i="1"/>
  <c r="AC17" i="1"/>
  <c r="AH19" i="1"/>
  <c r="AC19" i="1"/>
  <c r="W19" i="1"/>
  <c r="AH20" i="1"/>
  <c r="AC20" i="1"/>
  <c r="W20" i="1"/>
  <c r="AH21" i="1"/>
  <c r="AC21" i="1"/>
  <c r="W21" i="1"/>
  <c r="AH22" i="1"/>
  <c r="AC22" i="1"/>
  <c r="W22" i="1"/>
  <c r="AH23" i="1"/>
  <c r="AC23" i="1"/>
  <c r="W23" i="1"/>
  <c r="AH24" i="1"/>
  <c r="W24" i="1"/>
  <c r="AC24" i="1"/>
  <c r="AH27" i="1"/>
  <c r="AC27" i="1"/>
  <c r="W27" i="1"/>
  <c r="AH30" i="1"/>
  <c r="AC30" i="1"/>
  <c r="W30" i="1"/>
  <c r="AH33" i="1"/>
  <c r="AC33" i="1"/>
  <c r="W33" i="1"/>
  <c r="AH13" i="1"/>
  <c r="W13" i="1"/>
  <c r="AC13" i="1"/>
  <c r="AH14" i="1"/>
  <c r="AC14" i="1"/>
  <c r="W14" i="1"/>
  <c r="AC25" i="1"/>
  <c r="W25" i="1"/>
  <c r="AH32" i="1"/>
  <c r="W32" i="1"/>
  <c r="AC32" i="1"/>
  <c r="AH11" i="1"/>
  <c r="AC11" i="1"/>
  <c r="W11" i="1"/>
  <c r="AH15" i="1"/>
  <c r="AC15" i="1"/>
  <c r="W15" i="1"/>
  <c r="AH10" i="1"/>
  <c r="W10" i="1"/>
  <c r="AC10" i="1"/>
  <c r="AH9" i="1"/>
  <c r="AC9" i="1"/>
  <c r="W9" i="1"/>
  <c r="J21" i="4"/>
  <c r="AH25" i="1"/>
  <c r="R8" i="1"/>
  <c r="AH8" i="1"/>
  <c r="I29" i="4"/>
  <c r="I25" i="4"/>
  <c r="I21" i="4"/>
  <c r="I17" i="4"/>
  <c r="I13" i="4"/>
  <c r="I9" i="4"/>
  <c r="I6" i="4"/>
  <c r="I12" i="4"/>
  <c r="AG12" i="1"/>
  <c r="I8" i="4"/>
  <c r="I19" i="4"/>
  <c r="I15" i="4"/>
  <c r="I11" i="4"/>
  <c r="I7" i="4"/>
  <c r="I5" i="4"/>
  <c r="J13" i="4"/>
  <c r="J29" i="4"/>
  <c r="J17" i="4"/>
  <c r="J20" i="4"/>
  <c r="J16" i="4"/>
  <c r="J12" i="4"/>
  <c r="I32" i="4"/>
  <c r="I28" i="4"/>
  <c r="AG28" i="1"/>
  <c r="I24" i="4"/>
  <c r="I20" i="4"/>
  <c r="I16" i="4"/>
  <c r="J23" i="4"/>
  <c r="J19" i="4"/>
  <c r="J15" i="4"/>
  <c r="I23" i="4"/>
  <c r="J26" i="4"/>
  <c r="J18" i="4"/>
  <c r="AH18" i="1"/>
  <c r="J14" i="4"/>
  <c r="R30" i="1"/>
  <c r="J9" i="4"/>
  <c r="J28" i="4"/>
  <c r="AH26" i="1"/>
  <c r="J22" i="4"/>
  <c r="J7" i="4"/>
  <c r="J10" i="4"/>
  <c r="J11" i="4"/>
  <c r="J32" i="4"/>
  <c r="J8" i="4"/>
  <c r="J6" i="4"/>
  <c r="I26" i="4"/>
  <c r="AG18" i="1"/>
  <c r="I14" i="4"/>
  <c r="I34" i="4"/>
  <c r="I18" i="4"/>
  <c r="J5" i="4"/>
  <c r="AG26" i="1"/>
  <c r="I22" i="4"/>
  <c r="I10" i="4"/>
  <c r="J4" i="4"/>
  <c r="W8" i="1"/>
  <c r="D116" i="8"/>
  <c r="D112" i="8"/>
  <c r="D108" i="8"/>
  <c r="D104" i="8"/>
  <c r="D100" i="8"/>
  <c r="D96" i="8"/>
  <c r="D92" i="8"/>
  <c r="D88" i="8"/>
  <c r="D84" i="8"/>
  <c r="D80" i="8"/>
  <c r="D76" i="8"/>
  <c r="D72" i="8"/>
  <c r="D68" i="8"/>
  <c r="D64" i="8"/>
  <c r="D60" i="8"/>
  <c r="D56" i="8"/>
  <c r="D52" i="8"/>
  <c r="D48" i="8"/>
  <c r="D44" i="8"/>
  <c r="D40" i="8"/>
  <c r="D36" i="8"/>
  <c r="D32" i="8"/>
  <c r="D28" i="8"/>
  <c r="D24" i="8"/>
  <c r="D20" i="8"/>
  <c r="D16" i="8"/>
  <c r="D12" i="8"/>
  <c r="D10" i="7" s="1"/>
  <c r="D8" i="8"/>
  <c r="D9" i="7" s="1"/>
  <c r="B4" i="8"/>
  <c r="D35" i="7" l="1"/>
  <c r="D20" i="7"/>
  <c r="D17" i="7"/>
  <c r="D11" i="7"/>
  <c r="D36" i="7"/>
  <c r="D24" i="7"/>
  <c r="D22" i="7"/>
  <c r="D19" i="7"/>
  <c r="D16" i="7"/>
  <c r="D13" i="7"/>
  <c r="D34" i="7"/>
  <c r="D14" i="7"/>
  <c r="D33" i="7"/>
  <c r="D32" i="7"/>
  <c r="D31" i="7"/>
  <c r="D30" i="7"/>
  <c r="D29" i="7"/>
  <c r="D28" i="7"/>
  <c r="D27" i="7"/>
  <c r="D26" i="7"/>
  <c r="D25" i="7"/>
  <c r="D23" i="7"/>
  <c r="D21" i="7"/>
  <c r="D18" i="7"/>
  <c r="D15" i="7"/>
  <c r="D12" i="7"/>
  <c r="F5" i="8"/>
  <c r="D37" i="7"/>
  <c r="D39" i="7"/>
  <c r="D42" i="7"/>
  <c r="D41" i="7"/>
  <c r="D43" i="7"/>
  <c r="D44" i="7"/>
  <c r="D40" i="7"/>
  <c r="D45" i="7"/>
  <c r="E40" i="7"/>
  <c r="E39" i="7"/>
  <c r="E41" i="7"/>
  <c r="E45" i="7"/>
  <c r="E43" i="7"/>
  <c r="E37" i="7"/>
  <c r="E44" i="7"/>
  <c r="F44" i="7" s="1"/>
  <c r="G44" i="7" s="1"/>
  <c r="E42" i="7"/>
  <c r="D38" i="7"/>
  <c r="D4" i="8"/>
  <c r="D8" i="7" s="1"/>
  <c r="K28" i="4"/>
  <c r="F85" i="8" s="1"/>
  <c r="K17" i="4"/>
  <c r="F49" i="8" s="1"/>
  <c r="K9" i="4"/>
  <c r="F21" i="8" s="1"/>
  <c r="K11" i="4"/>
  <c r="F29" i="8" s="1"/>
  <c r="F17" i="8"/>
  <c r="K23" i="4"/>
  <c r="F69" i="8" s="1"/>
  <c r="K18" i="4"/>
  <c r="F53" i="8" s="1"/>
  <c r="K19" i="4"/>
  <c r="F57" i="8" s="1"/>
  <c r="K20" i="4"/>
  <c r="F61" i="8" s="1"/>
  <c r="AI8" i="1"/>
  <c r="K10" i="4"/>
  <c r="F25" i="8" s="1"/>
  <c r="J44" i="7" l="1"/>
  <c r="F40" i="7"/>
  <c r="F39" i="7"/>
  <c r="F41" i="7"/>
  <c r="F45" i="7"/>
  <c r="F43" i="7"/>
  <c r="F42" i="7"/>
  <c r="I8" i="7"/>
  <c r="C5"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6" i="5"/>
  <c r="E6" i="5"/>
  <c r="A7" i="5"/>
  <c r="D7" i="5"/>
  <c r="F7" i="5"/>
  <c r="A8" i="5"/>
  <c r="D8" i="5"/>
  <c r="F8" i="5"/>
  <c r="A9" i="5"/>
  <c r="D9" i="5"/>
  <c r="F9" i="5"/>
  <c r="A10" i="5"/>
  <c r="D10" i="5"/>
  <c r="F10" i="5"/>
  <c r="A11" i="5"/>
  <c r="D11" i="5"/>
  <c r="F11" i="5"/>
  <c r="A12" i="5"/>
  <c r="D12" i="5"/>
  <c r="F12" i="5"/>
  <c r="A13" i="5"/>
  <c r="D13" i="5"/>
  <c r="F13" i="5"/>
  <c r="A14" i="5"/>
  <c r="D14" i="5"/>
  <c r="F14" i="5"/>
  <c r="A15" i="5"/>
  <c r="D15" i="5"/>
  <c r="F15" i="5"/>
  <c r="A16" i="5"/>
  <c r="D16" i="5"/>
  <c r="F16" i="5"/>
  <c r="A17" i="5"/>
  <c r="D17" i="5"/>
  <c r="F17" i="5"/>
  <c r="A18" i="5"/>
  <c r="D18" i="5"/>
  <c r="F18" i="5"/>
  <c r="A19" i="5"/>
  <c r="D19" i="5"/>
  <c r="F19" i="5"/>
  <c r="A20" i="5"/>
  <c r="D20" i="5"/>
  <c r="F20" i="5"/>
  <c r="A21" i="5"/>
  <c r="D21" i="5"/>
  <c r="F21" i="5"/>
  <c r="A22" i="5"/>
  <c r="D22" i="5"/>
  <c r="F22" i="5"/>
  <c r="A23" i="5"/>
  <c r="D23" i="5"/>
  <c r="F23" i="5"/>
  <c r="A24" i="5"/>
  <c r="D24" i="5"/>
  <c r="F24" i="5"/>
  <c r="A25" i="5"/>
  <c r="D25" i="5"/>
  <c r="F25" i="5"/>
  <c r="A26" i="5"/>
  <c r="D26" i="5"/>
  <c r="F26" i="5"/>
  <c r="A27" i="5"/>
  <c r="D27" i="5"/>
  <c r="F27" i="5"/>
  <c r="A28" i="5"/>
  <c r="D28" i="5"/>
  <c r="F28" i="5"/>
  <c r="A29" i="5"/>
  <c r="D29" i="5"/>
  <c r="F29" i="5"/>
  <c r="A30" i="5"/>
  <c r="D30" i="5"/>
  <c r="F30" i="5"/>
  <c r="A31" i="5"/>
  <c r="D31" i="5"/>
  <c r="F31" i="5"/>
  <c r="A32" i="5"/>
  <c r="D32" i="5"/>
  <c r="F32" i="5"/>
  <c r="A33" i="5"/>
  <c r="D33" i="5"/>
  <c r="F33" i="5"/>
  <c r="A34" i="5"/>
  <c r="D34" i="5"/>
  <c r="F34" i="5"/>
  <c r="A35" i="5"/>
  <c r="D35" i="5"/>
  <c r="F35" i="5"/>
  <c r="A36" i="5"/>
  <c r="D36" i="5"/>
  <c r="F36" i="5"/>
  <c r="A6" i="5"/>
  <c r="G42" i="7" l="1"/>
  <c r="G40" i="7"/>
  <c r="G39" i="7"/>
  <c r="G41" i="7"/>
  <c r="G45" i="7"/>
  <c r="G43" i="7"/>
  <c r="F4" i="4"/>
  <c r="AC8" i="1"/>
  <c r="AA9" i="1"/>
  <c r="AA10" i="1"/>
  <c r="AA11" i="1"/>
  <c r="AA12" i="1"/>
  <c r="AA13" i="1"/>
  <c r="AA15" i="1"/>
  <c r="AA16" i="1"/>
  <c r="AA17" i="1"/>
  <c r="AA18" i="1"/>
  <c r="AA19" i="1"/>
  <c r="AA20" i="1"/>
  <c r="AA21" i="1"/>
  <c r="AA22" i="1"/>
  <c r="AA23" i="1"/>
  <c r="AA24" i="1"/>
  <c r="AA25" i="1"/>
  <c r="AA26" i="1"/>
  <c r="AA27" i="1"/>
  <c r="AA28" i="1"/>
  <c r="AA29" i="1"/>
  <c r="AA30" i="1"/>
  <c r="AA31" i="1"/>
  <c r="AA32" i="1"/>
  <c r="AA33" i="1"/>
  <c r="AA34" i="1"/>
  <c r="AA35" i="1"/>
  <c r="AA36" i="1"/>
  <c r="AA37" i="1"/>
  <c r="AA38" i="1"/>
  <c r="AA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8" i="1"/>
  <c r="O9" i="1"/>
  <c r="O12" i="1"/>
  <c r="O15" i="1"/>
  <c r="O17" i="1"/>
  <c r="O19" i="1"/>
  <c r="O20" i="1"/>
  <c r="O26" i="1"/>
  <c r="O29" i="1"/>
  <c r="O32" i="1"/>
  <c r="J42" i="7" l="1"/>
  <c r="J40" i="7"/>
  <c r="J39" i="7"/>
  <c r="J41" i="7"/>
  <c r="J45" i="7"/>
  <c r="J43" i="7"/>
  <c r="W37" i="1"/>
  <c r="AC37" i="1"/>
  <c r="AC28" i="1"/>
  <c r="AC18" i="1"/>
  <c r="W28" i="1"/>
  <c r="W18" i="1"/>
  <c r="AB37" i="1"/>
  <c r="V28" i="1"/>
  <c r="AB18" i="1"/>
  <c r="AB8" i="1"/>
  <c r="O21" i="1"/>
  <c r="O10" i="1"/>
  <c r="O14" i="1"/>
  <c r="O13" i="1"/>
  <c r="O11" i="1"/>
  <c r="O16" i="1"/>
  <c r="R16" i="1" s="1"/>
  <c r="O18" i="1"/>
  <c r="O22" i="1"/>
  <c r="O23" i="1"/>
  <c r="O24" i="1"/>
  <c r="O25" i="1"/>
  <c r="O27" i="1"/>
  <c r="O28" i="1"/>
  <c r="O31" i="1"/>
  <c r="O33" i="1"/>
  <c r="O35" i="1"/>
  <c r="O36" i="1"/>
  <c r="O37" i="1"/>
  <c r="O38" i="1"/>
  <c r="R38" i="1" s="1"/>
  <c r="R37" i="1" l="1"/>
  <c r="AD37" i="1"/>
  <c r="X36" i="1"/>
  <c r="R36" i="1"/>
  <c r="X38" i="1"/>
  <c r="AB28" i="1"/>
  <c r="AD38" i="1"/>
  <c r="AD36" i="1"/>
  <c r="V18" i="1"/>
  <c r="V37" i="1"/>
  <c r="X37" i="1" s="1"/>
  <c r="F137" i="3"/>
  <c r="E137" i="3"/>
  <c r="F136" i="3"/>
  <c r="E136" i="3"/>
  <c r="F135" i="3"/>
  <c r="E135" i="3"/>
  <c r="L134" i="3"/>
  <c r="K134" i="3"/>
  <c r="J134" i="3"/>
  <c r="G134" i="3"/>
  <c r="F134" i="3"/>
  <c r="E134" i="3"/>
  <c r="F133" i="3"/>
  <c r="E133" i="3"/>
  <c r="F132" i="3"/>
  <c r="E132" i="3"/>
  <c r="F131" i="3"/>
  <c r="E131" i="3"/>
  <c r="L130" i="3"/>
  <c r="K130" i="3"/>
  <c r="J130" i="3"/>
  <c r="G130" i="3"/>
  <c r="F130" i="3"/>
  <c r="E130" i="3"/>
  <c r="F129" i="3"/>
  <c r="E129" i="3"/>
  <c r="F128" i="3"/>
  <c r="E128" i="3"/>
  <c r="F127" i="3"/>
  <c r="E127" i="3"/>
  <c r="L126" i="3"/>
  <c r="K126" i="3"/>
  <c r="J126" i="3"/>
  <c r="G126" i="3"/>
  <c r="F126" i="3"/>
  <c r="E126" i="3"/>
  <c r="F125" i="3"/>
  <c r="E125" i="3"/>
  <c r="F124" i="3"/>
  <c r="E124" i="3"/>
  <c r="F123" i="3"/>
  <c r="E123" i="3"/>
  <c r="G122" i="3"/>
  <c r="F122" i="3"/>
  <c r="E122" i="3"/>
  <c r="F121" i="3"/>
  <c r="E121" i="3"/>
  <c r="F120" i="3"/>
  <c r="E120" i="3"/>
  <c r="F119" i="3"/>
  <c r="E119" i="3"/>
  <c r="G118" i="3"/>
  <c r="F118" i="3"/>
  <c r="E118" i="3"/>
  <c r="F117" i="3"/>
  <c r="E117" i="3"/>
  <c r="F116" i="3"/>
  <c r="E116" i="3"/>
  <c r="F115" i="3"/>
  <c r="E115" i="3"/>
  <c r="G114" i="3"/>
  <c r="F114" i="3"/>
  <c r="E114" i="3"/>
  <c r="E94" i="3"/>
  <c r="F94" i="3"/>
  <c r="G94" i="3"/>
  <c r="E95" i="3"/>
  <c r="F95" i="3"/>
  <c r="E96" i="3"/>
  <c r="F96" i="3"/>
  <c r="E97" i="3"/>
  <c r="F97" i="3"/>
  <c r="E98" i="3"/>
  <c r="F98" i="3"/>
  <c r="G98" i="3"/>
  <c r="E99" i="3"/>
  <c r="F99" i="3"/>
  <c r="E100" i="3"/>
  <c r="F100" i="3"/>
  <c r="E101" i="3"/>
  <c r="F101" i="3"/>
  <c r="E102" i="3"/>
  <c r="F102" i="3"/>
  <c r="G102" i="3"/>
  <c r="E103" i="3"/>
  <c r="F103" i="3"/>
  <c r="E104" i="3"/>
  <c r="F104" i="3"/>
  <c r="E105" i="3"/>
  <c r="F105" i="3"/>
  <c r="E106" i="3"/>
  <c r="F106" i="3"/>
  <c r="G106" i="3"/>
  <c r="E107" i="3"/>
  <c r="F107" i="3"/>
  <c r="E108" i="3"/>
  <c r="F108" i="3"/>
  <c r="E109" i="3"/>
  <c r="F109" i="3"/>
  <c r="E110" i="3"/>
  <c r="F110" i="3"/>
  <c r="G110" i="3"/>
  <c r="E111" i="3"/>
  <c r="F111" i="3"/>
  <c r="E112" i="3"/>
  <c r="F112" i="3"/>
  <c r="E113" i="3"/>
  <c r="F113" i="3"/>
  <c r="F93" i="3"/>
  <c r="E93" i="3"/>
  <c r="F92" i="3"/>
  <c r="E92" i="3"/>
  <c r="F91" i="3"/>
  <c r="E91" i="3"/>
  <c r="G90" i="3"/>
  <c r="F90" i="3"/>
  <c r="E90" i="3"/>
  <c r="F89" i="3"/>
  <c r="E89" i="3"/>
  <c r="F88" i="3"/>
  <c r="E88" i="3"/>
  <c r="F87" i="3"/>
  <c r="E87" i="3"/>
  <c r="G86" i="3"/>
  <c r="F86" i="3"/>
  <c r="E86" i="3"/>
  <c r="F85" i="3"/>
  <c r="E85" i="3"/>
  <c r="F84" i="3"/>
  <c r="E84" i="3"/>
  <c r="F83" i="3"/>
  <c r="E83" i="3"/>
  <c r="G82" i="3"/>
  <c r="F82" i="3"/>
  <c r="E82" i="3"/>
  <c r="F81" i="3"/>
  <c r="E81" i="3"/>
  <c r="F80" i="3"/>
  <c r="E80" i="3"/>
  <c r="F79" i="3"/>
  <c r="E79" i="3"/>
  <c r="G78" i="3"/>
  <c r="F78" i="3"/>
  <c r="E78" i="3"/>
  <c r="F77" i="3"/>
  <c r="E77" i="3"/>
  <c r="F76" i="3"/>
  <c r="E76" i="3"/>
  <c r="F75" i="3"/>
  <c r="E75" i="3"/>
  <c r="G74" i="3"/>
  <c r="F74" i="3"/>
  <c r="E74" i="3"/>
  <c r="F73" i="3"/>
  <c r="E73" i="3"/>
  <c r="F72" i="3"/>
  <c r="E72" i="3"/>
  <c r="F71" i="3"/>
  <c r="E71" i="3"/>
  <c r="G70" i="3"/>
  <c r="F70" i="3"/>
  <c r="E70" i="3"/>
  <c r="F69" i="3"/>
  <c r="E69" i="3"/>
  <c r="F68" i="3"/>
  <c r="E68" i="3"/>
  <c r="F67" i="3"/>
  <c r="E67" i="3"/>
  <c r="G66" i="3"/>
  <c r="F65" i="3"/>
  <c r="E65" i="3"/>
  <c r="F64" i="3"/>
  <c r="E64" i="3"/>
  <c r="F63" i="3"/>
  <c r="E63" i="3"/>
  <c r="G62" i="3"/>
  <c r="F62" i="3"/>
  <c r="E62" i="3"/>
  <c r="F61" i="3"/>
  <c r="E61" i="3"/>
  <c r="F60" i="3"/>
  <c r="E60" i="3"/>
  <c r="F59" i="3"/>
  <c r="E59" i="3"/>
  <c r="G58" i="3"/>
  <c r="F58" i="3"/>
  <c r="E58" i="3"/>
  <c r="F57" i="3"/>
  <c r="E57" i="3"/>
  <c r="F56" i="3"/>
  <c r="E56" i="3"/>
  <c r="F55" i="3"/>
  <c r="E55" i="3"/>
  <c r="G54" i="3"/>
  <c r="F54" i="3"/>
  <c r="E54" i="3"/>
  <c r="F53" i="3"/>
  <c r="E53" i="3"/>
  <c r="F52" i="3"/>
  <c r="E52" i="3"/>
  <c r="F51" i="3"/>
  <c r="E51" i="3"/>
  <c r="G50" i="3"/>
  <c r="F50" i="3"/>
  <c r="E50" i="3"/>
  <c r="F49" i="3"/>
  <c r="E49" i="3"/>
  <c r="F48" i="3"/>
  <c r="E48" i="3"/>
  <c r="F47" i="3"/>
  <c r="E47" i="3"/>
  <c r="G46" i="3"/>
  <c r="F46" i="3"/>
  <c r="E46" i="3"/>
  <c r="F45" i="3"/>
  <c r="E45" i="3"/>
  <c r="F44" i="3"/>
  <c r="E44" i="3"/>
  <c r="F43" i="3"/>
  <c r="E43" i="3"/>
  <c r="G42" i="3"/>
  <c r="F42" i="3"/>
  <c r="E42" i="3"/>
  <c r="F41" i="3"/>
  <c r="E41" i="3"/>
  <c r="F40" i="3"/>
  <c r="E40" i="3"/>
  <c r="F39" i="3"/>
  <c r="E39" i="3"/>
  <c r="G38" i="3"/>
  <c r="F38" i="3"/>
  <c r="E38" i="3"/>
  <c r="F37" i="3"/>
  <c r="E37" i="3"/>
  <c r="F36" i="3"/>
  <c r="E36" i="3"/>
  <c r="F35" i="3"/>
  <c r="E35" i="3"/>
  <c r="G34" i="3"/>
  <c r="F34" i="3"/>
  <c r="E34" i="3"/>
  <c r="F33" i="3"/>
  <c r="E33" i="3"/>
  <c r="F32" i="3"/>
  <c r="E32" i="3"/>
  <c r="F31" i="3"/>
  <c r="E31" i="3"/>
  <c r="G30" i="3"/>
  <c r="F30" i="3"/>
  <c r="E30" i="3"/>
  <c r="F29" i="3"/>
  <c r="E29" i="3"/>
  <c r="F28" i="3"/>
  <c r="E28" i="3"/>
  <c r="F27" i="3"/>
  <c r="E27" i="3"/>
  <c r="G26" i="3"/>
  <c r="F26" i="3"/>
  <c r="E26" i="3"/>
  <c r="F25" i="3"/>
  <c r="E25" i="3"/>
  <c r="F24" i="3"/>
  <c r="E24" i="3"/>
  <c r="F23" i="3"/>
  <c r="E23" i="3"/>
  <c r="G22" i="3"/>
  <c r="F22" i="3"/>
  <c r="E22" i="3"/>
  <c r="F21" i="3"/>
  <c r="E21" i="3"/>
  <c r="F20" i="3"/>
  <c r="E20" i="3"/>
  <c r="F19" i="3"/>
  <c r="E19" i="3"/>
  <c r="G18" i="3"/>
  <c r="F18" i="3"/>
  <c r="E18" i="3"/>
  <c r="F17" i="3"/>
  <c r="E17" i="3"/>
  <c r="F16" i="3"/>
  <c r="E16" i="3"/>
  <c r="F15" i="3"/>
  <c r="E15" i="3"/>
  <c r="G14" i="3"/>
  <c r="F14" i="3"/>
  <c r="E14" i="3"/>
  <c r="F13" i="3"/>
  <c r="E13" i="3"/>
  <c r="F12" i="3"/>
  <c r="E12" i="3"/>
  <c r="F11" i="3"/>
  <c r="E11" i="3"/>
  <c r="G10" i="3"/>
  <c r="F10" i="3"/>
  <c r="E10" i="3"/>
  <c r="F9" i="3"/>
  <c r="E9" i="3"/>
  <c r="F8" i="3"/>
  <c r="E8" i="3"/>
  <c r="F7" i="3"/>
  <c r="E7" i="3"/>
  <c r="G6" i="3"/>
  <c r="F6" i="3"/>
  <c r="E6" i="3"/>
  <c r="G2" i="3"/>
  <c r="F5" i="3"/>
  <c r="F4" i="3"/>
  <c r="F3" i="3"/>
  <c r="F2" i="3"/>
  <c r="C2" i="3"/>
  <c r="E5" i="3"/>
  <c r="E4" i="3"/>
  <c r="AI11" i="1"/>
  <c r="I11" i="7" s="1"/>
  <c r="AE37" i="1" l="1"/>
  <c r="AE36" i="1"/>
  <c r="AE38" i="1"/>
  <c r="H14" i="3"/>
  <c r="J14" i="3"/>
  <c r="I134" i="3"/>
  <c r="I130" i="3"/>
  <c r="I126" i="3"/>
  <c r="AI9" i="1"/>
  <c r="I9" i="7" s="1"/>
  <c r="AI10" i="1"/>
  <c r="AI12" i="1"/>
  <c r="AI13" i="1"/>
  <c r="AI14" i="1"/>
  <c r="AI15" i="1"/>
  <c r="AI16" i="1"/>
  <c r="AI17" i="1"/>
  <c r="AI18" i="1"/>
  <c r="AI19" i="1"/>
  <c r="AI20" i="1"/>
  <c r="AI21" i="1"/>
  <c r="AI22" i="1"/>
  <c r="AI23" i="1"/>
  <c r="AI24" i="1"/>
  <c r="AI25" i="1"/>
  <c r="AI26" i="1"/>
  <c r="AI27" i="1"/>
  <c r="AI28" i="1"/>
  <c r="AI29" i="1"/>
  <c r="AI30" i="1"/>
  <c r="AI31" i="1"/>
  <c r="AI32" i="1"/>
  <c r="AI33" i="1"/>
  <c r="AI34" i="1"/>
  <c r="AI35" i="1"/>
  <c r="AI36" i="1"/>
  <c r="I36" i="7" s="1"/>
  <c r="AI37" i="1"/>
  <c r="AI38" i="1"/>
  <c r="E3" i="3"/>
  <c r="E2" i="3"/>
  <c r="I23" i="7" l="1"/>
  <c r="I16" i="7"/>
  <c r="I20" i="7"/>
  <c r="I27" i="7"/>
  <c r="I12" i="7"/>
  <c r="I33" i="7"/>
  <c r="I29" i="7"/>
  <c r="I26" i="7"/>
  <c r="I28" i="7"/>
  <c r="I30" i="7"/>
  <c r="I31" i="7"/>
  <c r="I32" i="7"/>
  <c r="I18" i="7"/>
  <c r="I14" i="7"/>
  <c r="AJ37" i="1"/>
  <c r="AL36" i="1"/>
  <c r="I34" i="7"/>
  <c r="I37" i="7"/>
  <c r="AL37" i="1"/>
  <c r="AL38" i="1"/>
  <c r="H122" i="3"/>
  <c r="I38" i="7"/>
  <c r="H58" i="3"/>
  <c r="I22" i="7"/>
  <c r="H70" i="3"/>
  <c r="I25" i="7"/>
  <c r="H54" i="3"/>
  <c r="I21" i="7"/>
  <c r="J38" i="3"/>
  <c r="I17" i="7"/>
  <c r="H22" i="3"/>
  <c r="I13" i="7"/>
  <c r="F124" i="8"/>
  <c r="H66" i="3"/>
  <c r="I24" i="7"/>
  <c r="H110" i="3"/>
  <c r="I35" i="7"/>
  <c r="J46" i="3"/>
  <c r="I19" i="7"/>
  <c r="J30" i="3"/>
  <c r="I15" i="7"/>
  <c r="H10" i="3"/>
  <c r="I10" i="7"/>
  <c r="F116" i="8"/>
  <c r="AJ36" i="1"/>
  <c r="AJ38" i="1"/>
  <c r="AK36" i="1"/>
  <c r="AK37" i="1"/>
  <c r="AK38" i="1"/>
  <c r="H106" i="3"/>
  <c r="H102" i="3"/>
  <c r="J98" i="3"/>
  <c r="H94" i="3"/>
  <c r="H90" i="3"/>
  <c r="H42" i="3"/>
  <c r="J74" i="3"/>
  <c r="H26" i="3"/>
  <c r="J50" i="3"/>
  <c r="H34" i="3"/>
  <c r="H78" i="3"/>
  <c r="H62" i="3"/>
  <c r="J6" i="3"/>
  <c r="H2" i="3"/>
  <c r="J2" i="3"/>
  <c r="J86" i="3"/>
  <c r="H82" i="3"/>
  <c r="J18" i="3"/>
  <c r="J118" i="3"/>
  <c r="H118" i="3"/>
  <c r="J114" i="3"/>
  <c r="H114" i="3"/>
  <c r="J102" i="3"/>
  <c r="J70" i="3"/>
  <c r="J54" i="3"/>
  <c r="J22" i="3"/>
  <c r="J82" i="3"/>
  <c r="J66" i="3"/>
  <c r="J34" i="3"/>
  <c r="J110" i="3"/>
  <c r="J94" i="3"/>
  <c r="J78" i="3"/>
  <c r="J62" i="3"/>
  <c r="J10" i="3"/>
  <c r="J122" i="3"/>
  <c r="J106" i="3"/>
  <c r="J90" i="3"/>
  <c r="J58" i="3"/>
  <c r="J42" i="3"/>
  <c r="J26" i="3"/>
  <c r="O34" i="1"/>
  <c r="R33" i="1" l="1"/>
  <c r="R34" i="1"/>
  <c r="R35" i="1"/>
  <c r="X35" i="1"/>
  <c r="AD33" i="1" l="1"/>
  <c r="X33" i="1"/>
  <c r="AD34" i="1"/>
  <c r="AD35" i="1"/>
  <c r="X34" i="1"/>
  <c r="AE34" i="1" l="1"/>
  <c r="AE35" i="1"/>
  <c r="AK35" i="1" s="1"/>
  <c r="AE33" i="1"/>
  <c r="K114" i="3"/>
  <c r="AJ34" i="1" l="1"/>
  <c r="AL34" i="1"/>
  <c r="AK34" i="1"/>
  <c r="F108" i="8"/>
  <c r="AJ35" i="1"/>
  <c r="F112" i="8"/>
  <c r="AL35" i="1"/>
  <c r="F104" i="8"/>
  <c r="AL33" i="1"/>
  <c r="AJ33" i="1"/>
  <c r="AK33" i="1"/>
  <c r="K110" i="3"/>
  <c r="K122" i="3"/>
  <c r="L114" i="3"/>
  <c r="I114" i="3" s="1"/>
  <c r="K118" i="3"/>
  <c r="L110" i="3" l="1"/>
  <c r="I110" i="3" s="1"/>
  <c r="L122" i="3"/>
  <c r="I122" i="3" s="1"/>
  <c r="L118" i="3"/>
  <c r="I118" i="3" s="1"/>
  <c r="O122" i="3" l="1"/>
  <c r="O94" i="3"/>
  <c r="O70" i="3"/>
  <c r="O54" i="3"/>
  <c r="O22" i="3"/>
  <c r="O58" i="3"/>
  <c r="O110" i="3"/>
  <c r="O90" i="3"/>
  <c r="O66" i="3"/>
  <c r="O42" i="3"/>
  <c r="O14" i="3"/>
  <c r="O78" i="3"/>
  <c r="O106" i="3"/>
  <c r="O82" i="3"/>
  <c r="O62" i="3"/>
  <c r="O34" i="3"/>
  <c r="O10" i="3"/>
  <c r="O102" i="3"/>
  <c r="O26" i="3"/>
  <c r="O2" i="3"/>
  <c r="D6" i="5" l="1"/>
  <c r="F6" i="5"/>
  <c r="G6" i="5"/>
  <c r="E4" i="4"/>
  <c r="G4" i="4"/>
  <c r="E3" i="4"/>
  <c r="G3" i="4"/>
  <c r="A3" i="4"/>
  <c r="D3" i="4"/>
  <c r="AB12" i="1"/>
  <c r="AC12" i="1"/>
  <c r="AB26" i="1"/>
  <c r="AC26" i="1"/>
  <c r="V12" i="1"/>
  <c r="W12" i="1"/>
  <c r="V26" i="1"/>
  <c r="W26" i="1"/>
  <c r="F37" i="7" l="1"/>
  <c r="G37" i="7" s="1"/>
  <c r="G124" i="8"/>
  <c r="E38" i="7" s="1"/>
  <c r="F42" i="8"/>
  <c r="F38" i="8"/>
  <c r="F34" i="8"/>
  <c r="F30" i="8"/>
  <c r="F26" i="8"/>
  <c r="F22" i="8"/>
  <c r="F18" i="8"/>
  <c r="F14" i="8"/>
  <c r="F10" i="8"/>
  <c r="G116" i="8"/>
  <c r="E36" i="7" s="1"/>
  <c r="G112" i="8"/>
  <c r="G108" i="8"/>
  <c r="F106" i="8"/>
  <c r="G104" i="8" s="1"/>
  <c r="E33" i="7" s="1"/>
  <c r="F102" i="8"/>
  <c r="F98" i="8"/>
  <c r="F94" i="8"/>
  <c r="F90" i="8"/>
  <c r="F78" i="8"/>
  <c r="F70" i="8"/>
  <c r="F62" i="8"/>
  <c r="F54" i="8"/>
  <c r="F46" i="8"/>
  <c r="F86" i="8"/>
  <c r="F82" i="8"/>
  <c r="F74" i="8"/>
  <c r="F66" i="8"/>
  <c r="F58" i="8"/>
  <c r="F50" i="8"/>
  <c r="F6" i="8"/>
  <c r="X8" i="1"/>
  <c r="AD8" i="1"/>
  <c r="R9" i="1"/>
  <c r="X9" i="1"/>
  <c r="AD9" i="1"/>
  <c r="R10" i="1"/>
  <c r="X10" i="1"/>
  <c r="AD10" i="1"/>
  <c r="R11" i="1"/>
  <c r="X11" i="1"/>
  <c r="AD11" i="1"/>
  <c r="R12" i="1"/>
  <c r="X12" i="1"/>
  <c r="AD12" i="1"/>
  <c r="R13" i="1"/>
  <c r="X13" i="1"/>
  <c r="AD13" i="1"/>
  <c r="R14" i="1"/>
  <c r="X14" i="1"/>
  <c r="AD14" i="1"/>
  <c r="R15" i="1"/>
  <c r="X15" i="1"/>
  <c r="AD15" i="1"/>
  <c r="X16" i="1"/>
  <c r="AD16" i="1"/>
  <c r="R17" i="1"/>
  <c r="X17" i="1"/>
  <c r="AD17" i="1"/>
  <c r="R18" i="1"/>
  <c r="X18" i="1"/>
  <c r="AD18" i="1"/>
  <c r="R19" i="1"/>
  <c r="X19" i="1"/>
  <c r="AD19" i="1"/>
  <c r="R20" i="1"/>
  <c r="X20" i="1"/>
  <c r="AD20" i="1"/>
  <c r="R21" i="1"/>
  <c r="X21" i="1"/>
  <c r="AD21" i="1"/>
  <c r="R22" i="1"/>
  <c r="X22" i="1"/>
  <c r="AD22" i="1"/>
  <c r="R23" i="1"/>
  <c r="X23" i="1"/>
  <c r="AD23" i="1"/>
  <c r="R24" i="1"/>
  <c r="X24" i="1"/>
  <c r="AD24" i="1"/>
  <c r="R25" i="1"/>
  <c r="X25" i="1"/>
  <c r="AD25" i="1"/>
  <c r="R26" i="1"/>
  <c r="X26" i="1"/>
  <c r="AD26" i="1"/>
  <c r="R27" i="1"/>
  <c r="X27" i="1"/>
  <c r="AD27" i="1"/>
  <c r="R28" i="1"/>
  <c r="X28" i="1"/>
  <c r="AD28" i="1"/>
  <c r="R29" i="1"/>
  <c r="X29" i="1"/>
  <c r="AD29" i="1"/>
  <c r="X30" i="1"/>
  <c r="AD30" i="1"/>
  <c r="R31" i="1"/>
  <c r="X31" i="1"/>
  <c r="AD31" i="1"/>
  <c r="R32" i="1"/>
  <c r="X32" i="1"/>
  <c r="AD32" i="1"/>
  <c r="E34" i="7" l="1"/>
  <c r="E35" i="7"/>
  <c r="F38" i="7"/>
  <c r="G38" i="7" s="1"/>
  <c r="J37" i="7"/>
  <c r="AE31" i="1"/>
  <c r="AJ31" i="1" s="1"/>
  <c r="AE26" i="1"/>
  <c r="AL26" i="1" s="1"/>
  <c r="AE28" i="1"/>
  <c r="AE29" i="1"/>
  <c r="AL29" i="1" s="1"/>
  <c r="AE25" i="1"/>
  <c r="AL25" i="1" s="1"/>
  <c r="AE21" i="1"/>
  <c r="AL21" i="1" s="1"/>
  <c r="AE17" i="1"/>
  <c r="AL17" i="1" s="1"/>
  <c r="AE14" i="1"/>
  <c r="AL14" i="1" s="1"/>
  <c r="AE10" i="1"/>
  <c r="AL10" i="1" s="1"/>
  <c r="AE22" i="1"/>
  <c r="AE15" i="1"/>
  <c r="AL15" i="1" s="1"/>
  <c r="AE11" i="1"/>
  <c r="AL11" i="1" s="1"/>
  <c r="AE8" i="1"/>
  <c r="AE18" i="1"/>
  <c r="AL18" i="1" s="1"/>
  <c r="AE27" i="1"/>
  <c r="AL27" i="1" s="1"/>
  <c r="AE23" i="1"/>
  <c r="AL23" i="1" s="1"/>
  <c r="AE19" i="1"/>
  <c r="AE16" i="1"/>
  <c r="AL16" i="1" s="1"/>
  <c r="AE12" i="1"/>
  <c r="AL12" i="1" s="1"/>
  <c r="AE30" i="1"/>
  <c r="AL30" i="1" s="1"/>
  <c r="AE32" i="1"/>
  <c r="AL32" i="1" s="1"/>
  <c r="AE24" i="1"/>
  <c r="AL24" i="1" s="1"/>
  <c r="AE20" i="1"/>
  <c r="AL20" i="1" s="1"/>
  <c r="AE13" i="1"/>
  <c r="AL13" i="1" s="1"/>
  <c r="AE9" i="1"/>
  <c r="AL9" i="1" s="1"/>
  <c r="AK8" i="1" l="1"/>
  <c r="AL8" i="1"/>
  <c r="J38" i="7"/>
  <c r="AK26" i="1"/>
  <c r="AK31" i="1"/>
  <c r="F96" i="8"/>
  <c r="G96" i="8" s="1"/>
  <c r="AL31" i="1"/>
  <c r="AK28" i="1"/>
  <c r="AL28" i="1"/>
  <c r="AK22" i="1"/>
  <c r="AL22" i="1"/>
  <c r="AK19" i="1"/>
  <c r="AL19" i="1"/>
  <c r="F52" i="8"/>
  <c r="F80" i="8"/>
  <c r="F40" i="8"/>
  <c r="F36" i="8"/>
  <c r="F60" i="8"/>
  <c r="F76" i="8"/>
  <c r="F8" i="8"/>
  <c r="F100" i="8"/>
  <c r="F48" i="8"/>
  <c r="F4" i="8"/>
  <c r="G4" i="8" s="1"/>
  <c r="E8" i="7" s="1"/>
  <c r="F12" i="8"/>
  <c r="F72" i="8"/>
  <c r="F20" i="8"/>
  <c r="F32" i="8"/>
  <c r="F84" i="8"/>
  <c r="F68" i="8"/>
  <c r="F44" i="8"/>
  <c r="F56" i="8"/>
  <c r="AK24" i="1"/>
  <c r="AK27" i="1"/>
  <c r="F24" i="8"/>
  <c r="G24" i="8" s="1"/>
  <c r="E13" i="7" s="1"/>
  <c r="F92" i="8"/>
  <c r="F64" i="8"/>
  <c r="F16" i="8"/>
  <c r="F28" i="8"/>
  <c r="F88" i="8"/>
  <c r="AK13" i="1"/>
  <c r="AJ14" i="1"/>
  <c r="AJ25" i="1"/>
  <c r="AJ29" i="1"/>
  <c r="AK9" i="1"/>
  <c r="AK30" i="1"/>
  <c r="AJ13" i="1"/>
  <c r="AJ24" i="1"/>
  <c r="AJ30" i="1"/>
  <c r="AK21" i="1"/>
  <c r="AK32" i="1"/>
  <c r="AK12" i="1"/>
  <c r="AK20" i="1"/>
  <c r="AK15" i="1"/>
  <c r="AJ9" i="1"/>
  <c r="AJ20" i="1"/>
  <c r="AJ32" i="1"/>
  <c r="AJ12" i="1"/>
  <c r="AK10" i="1"/>
  <c r="AJ21" i="1"/>
  <c r="AK18" i="1"/>
  <c r="AK16" i="1"/>
  <c r="AJ19" i="1"/>
  <c r="AJ27" i="1"/>
  <c r="AJ8" i="1"/>
  <c r="AJ15" i="1"/>
  <c r="AJ10" i="1"/>
  <c r="AJ17" i="1"/>
  <c r="AK25" i="1"/>
  <c r="AJ28" i="1"/>
  <c r="AK23" i="1"/>
  <c r="AK11" i="1"/>
  <c r="AJ16" i="1"/>
  <c r="AJ23" i="1"/>
  <c r="AJ18" i="1"/>
  <c r="AJ11" i="1"/>
  <c r="AJ22" i="1"/>
  <c r="AK17" i="1"/>
  <c r="AK29" i="1"/>
  <c r="AJ26" i="1"/>
  <c r="AK14" i="1"/>
  <c r="K38" i="3"/>
  <c r="K46" i="3"/>
  <c r="K70" i="3"/>
  <c r="K94" i="3"/>
  <c r="K54" i="3"/>
  <c r="K30" i="3"/>
  <c r="K66" i="3"/>
  <c r="K6" i="3"/>
  <c r="K10" i="3"/>
  <c r="K90" i="3"/>
  <c r="K58" i="3"/>
  <c r="K22" i="3"/>
  <c r="K98" i="3"/>
  <c r="F35" i="7" l="1"/>
  <c r="G35" i="7" s="1"/>
  <c r="E31" i="7"/>
  <c r="G28" i="8"/>
  <c r="E14" i="7" s="1"/>
  <c r="G68" i="8"/>
  <c r="E24" i="7" s="1"/>
  <c r="G72" i="8"/>
  <c r="E25" i="7" s="1"/>
  <c r="G100" i="8"/>
  <c r="G76" i="8"/>
  <c r="E26" i="7" s="1"/>
  <c r="G36" i="8"/>
  <c r="E16" i="7" s="1"/>
  <c r="G88" i="8"/>
  <c r="E29" i="7" s="1"/>
  <c r="G16" i="8"/>
  <c r="E11" i="7" s="1"/>
  <c r="G92" i="8"/>
  <c r="E30" i="7" s="1"/>
  <c r="G44" i="8"/>
  <c r="E18" i="7" s="1"/>
  <c r="G84" i="8"/>
  <c r="E28" i="7" s="1"/>
  <c r="G20" i="8"/>
  <c r="E12" i="7" s="1"/>
  <c r="G12" i="8"/>
  <c r="E10" i="7" s="1"/>
  <c r="G48" i="8"/>
  <c r="E19" i="7" s="1"/>
  <c r="G8" i="8"/>
  <c r="E9" i="7" s="1"/>
  <c r="G60" i="8"/>
  <c r="E22" i="7" s="1"/>
  <c r="G40" i="8"/>
  <c r="E17" i="7" s="1"/>
  <c r="G52" i="8"/>
  <c r="E20" i="7" s="1"/>
  <c r="G64" i="8"/>
  <c r="E23" i="7" s="1"/>
  <c r="G56" i="8"/>
  <c r="E21" i="7" s="1"/>
  <c r="G32" i="8"/>
  <c r="E15" i="7" s="1"/>
  <c r="G80" i="8"/>
  <c r="K82" i="3"/>
  <c r="L102" i="3"/>
  <c r="L106" i="3"/>
  <c r="K78" i="3"/>
  <c r="K18" i="3"/>
  <c r="K14" i="3"/>
  <c r="K42" i="3"/>
  <c r="K106" i="3"/>
  <c r="K86" i="3"/>
  <c r="K62" i="3"/>
  <c r="K102" i="3"/>
  <c r="K26" i="3"/>
  <c r="K34" i="3"/>
  <c r="K50" i="3"/>
  <c r="K2" i="3"/>
  <c r="K74" i="3"/>
  <c r="L58" i="3"/>
  <c r="I58" i="3" s="1"/>
  <c r="H86" i="3"/>
  <c r="L86" i="3"/>
  <c r="L62" i="3"/>
  <c r="L78" i="3"/>
  <c r="L26" i="3"/>
  <c r="L34" i="3"/>
  <c r="H98" i="3"/>
  <c r="L98" i="3"/>
  <c r="I98" i="3" s="1"/>
  <c r="L90" i="3"/>
  <c r="I90" i="3" s="1"/>
  <c r="H6" i="3"/>
  <c r="L6" i="3"/>
  <c r="I6" i="3" s="1"/>
  <c r="H50" i="3"/>
  <c r="L50" i="3"/>
  <c r="L94" i="3"/>
  <c r="I94" i="3" s="1"/>
  <c r="L70" i="3"/>
  <c r="I70" i="3" s="1"/>
  <c r="L2" i="3"/>
  <c r="H18" i="3"/>
  <c r="L18" i="3"/>
  <c r="H74" i="3"/>
  <c r="L74" i="3"/>
  <c r="L82" i="3"/>
  <c r="L66" i="3"/>
  <c r="I66" i="3" s="1"/>
  <c r="H30" i="3"/>
  <c r="L30" i="3"/>
  <c r="I30" i="3" s="1"/>
  <c r="H46" i="3"/>
  <c r="L46" i="3"/>
  <c r="I46" i="3" s="1"/>
  <c r="L22" i="3"/>
  <c r="I22" i="3" s="1"/>
  <c r="L10" i="3"/>
  <c r="I10" i="3" s="1"/>
  <c r="L42" i="3"/>
  <c r="I42" i="3" s="1"/>
  <c r="L54" i="3"/>
  <c r="I54" i="3" s="1"/>
  <c r="L14" i="3"/>
  <c r="H38" i="3"/>
  <c r="L38" i="3"/>
  <c r="I38" i="3" s="1"/>
  <c r="J35" i="7" l="1"/>
  <c r="F36" i="7"/>
  <c r="G36" i="7" s="1"/>
  <c r="E32" i="7"/>
  <c r="F31" i="7"/>
  <c r="G31" i="7" s="1"/>
  <c r="E27" i="7"/>
  <c r="F34" i="7"/>
  <c r="F33" i="7"/>
  <c r="G33" i="7" s="1"/>
  <c r="F18" i="7"/>
  <c r="G18" i="7" s="1"/>
  <c r="F15" i="7"/>
  <c r="G15" i="7" s="1"/>
  <c r="F10" i="7"/>
  <c r="G10" i="7" s="1"/>
  <c r="F26" i="7"/>
  <c r="G26" i="7" s="1"/>
  <c r="F9" i="7"/>
  <c r="G9" i="7" s="1"/>
  <c r="F21" i="7"/>
  <c r="G21" i="7" s="1"/>
  <c r="F8" i="7"/>
  <c r="G8" i="7" s="1"/>
  <c r="F28" i="7"/>
  <c r="G28" i="7" s="1"/>
  <c r="F14" i="7"/>
  <c r="G14" i="7" s="1"/>
  <c r="F12" i="7"/>
  <c r="F11" i="7"/>
  <c r="I82" i="3"/>
  <c r="I102" i="3"/>
  <c r="I106" i="3"/>
  <c r="I78" i="3"/>
  <c r="I14" i="3"/>
  <c r="I18" i="3"/>
  <c r="I74" i="3"/>
  <c r="I26" i="3"/>
  <c r="I34" i="3"/>
  <c r="I86" i="3"/>
  <c r="I2" i="3"/>
  <c r="I50" i="3"/>
  <c r="I62" i="3"/>
  <c r="M2" i="3"/>
  <c r="N2" i="3" s="1"/>
  <c r="J36" i="7" l="1"/>
  <c r="J33" i="7"/>
  <c r="J31" i="7"/>
  <c r="F29" i="7"/>
  <c r="G29" i="7" s="1"/>
  <c r="F23" i="7"/>
  <c r="G23" i="7" s="1"/>
  <c r="G34" i="7"/>
  <c r="F32" i="7"/>
  <c r="G32" i="7" s="1"/>
  <c r="F30" i="7"/>
  <c r="G30" i="7" s="1"/>
  <c r="F27" i="7"/>
  <c r="G27" i="7" s="1"/>
  <c r="F25" i="7"/>
  <c r="G25" i="7" s="1"/>
  <c r="F20" i="7"/>
  <c r="G20" i="7" s="1"/>
  <c r="F19" i="7"/>
  <c r="G19" i="7" s="1"/>
  <c r="F24" i="7"/>
  <c r="G24" i="7" s="1"/>
  <c r="F22" i="7"/>
  <c r="G22" i="7" s="1"/>
  <c r="F16" i="7"/>
  <c r="G16" i="7" s="1"/>
  <c r="F17" i="7"/>
  <c r="G17" i="7" s="1"/>
  <c r="F13" i="7"/>
  <c r="G13" i="7" s="1"/>
  <c r="M42" i="3"/>
  <c r="N42" i="3" s="1"/>
  <c r="M10" i="3"/>
  <c r="N10" i="3" s="1"/>
  <c r="M14" i="3"/>
  <c r="N14" i="3" s="1"/>
  <c r="M58" i="3"/>
  <c r="N58" i="3" s="1"/>
  <c r="M122" i="3"/>
  <c r="N122" i="3" s="1"/>
  <c r="M90" i="3"/>
  <c r="N90" i="3" s="1"/>
  <c r="M34" i="3"/>
  <c r="N34" i="3" s="1"/>
  <c r="M62" i="3"/>
  <c r="N62" i="3" s="1"/>
  <c r="M66" i="3"/>
  <c r="N66" i="3" s="1"/>
  <c r="M94" i="3"/>
  <c r="N94" i="3" s="1"/>
  <c r="J28" i="7"/>
  <c r="M82" i="3"/>
  <c r="N82" i="3" s="1"/>
  <c r="M110" i="3"/>
  <c r="N110" i="3" s="1"/>
  <c r="M54" i="3"/>
  <c r="N54" i="3" s="1"/>
  <c r="M70" i="3"/>
  <c r="N70" i="3" s="1"/>
  <c r="J8" i="7"/>
  <c r="M106" i="3"/>
  <c r="N106" i="3" s="1"/>
  <c r="M102" i="3"/>
  <c r="N102" i="3" s="1"/>
  <c r="M78" i="3"/>
  <c r="N78" i="3" s="1"/>
  <c r="G11" i="7"/>
  <c r="G12" i="7"/>
  <c r="N138" i="3"/>
  <c r="J21" i="7"/>
  <c r="J10" i="7"/>
  <c r="J15" i="7"/>
  <c r="J9" i="7"/>
  <c r="J26" i="7"/>
  <c r="J14" i="7"/>
  <c r="J18" i="7"/>
  <c r="J34" i="7" l="1"/>
  <c r="J29" i="7"/>
  <c r="J32" i="7"/>
  <c r="J23" i="7"/>
  <c r="J30" i="7"/>
  <c r="J25" i="7"/>
  <c r="J27" i="7"/>
  <c r="J20" i="7"/>
  <c r="J19" i="7"/>
  <c r="J24" i="7"/>
  <c r="J22" i="7"/>
  <c r="J16" i="7"/>
  <c r="J17" i="7"/>
  <c r="J13" i="7"/>
  <c r="M26" i="3"/>
  <c r="N26" i="3" s="1"/>
  <c r="M22" i="3"/>
  <c r="N22" i="3" s="1"/>
  <c r="J11" i="7"/>
  <c r="J12" i="7"/>
  <c r="M2" i="12" l="1"/>
  <c r="M1" i="12"/>
  <c r="J46" i="7"/>
  <c r="M3"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Антропова</author>
  </authors>
  <commentList>
    <comment ref="F3" authorId="0" shapeId="0" xr:uid="{8066457E-915F-41E8-AB5F-DAB48CE3D78A}">
      <text>
        <r>
          <rPr>
            <b/>
            <sz val="9"/>
            <color indexed="81"/>
            <rFont val="Tahoma"/>
            <family val="2"/>
            <charset val="204"/>
          </rPr>
          <t>Антропова:</t>
        </r>
        <r>
          <rPr>
            <sz val="9"/>
            <color indexed="81"/>
            <rFont val="Tahoma"/>
            <family val="2"/>
            <charset val="204"/>
          </rPr>
          <t xml:space="preserve">
В соотвествии с п. 10 приказа № 1064н  оптовая надбавка не применяется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<sst xmlns="http://schemas.openxmlformats.org/spreadsheetml/2006/main" count="1574" uniqueCount="472">
  <si>
    <t>№ п/п</t>
  </si>
  <si>
    <t>Источник данных</t>
  </si>
  <si>
    <t xml:space="preserve">Цена за единицу, руб. </t>
  </si>
  <si>
    <t>1. Метод определения цены единицы планируемого к закупке лекарственного препарата: метод сопоставимых рыночных цен (анализа рынка).</t>
  </si>
  <si>
    <t>МНН</t>
  </si>
  <si>
    <t>Лекарственная форма</t>
  </si>
  <si>
    <t>мл</t>
  </si>
  <si>
    <t>Ед. измерения товара</t>
  </si>
  <si>
    <t>1 Цена за уп с НДС</t>
  </si>
  <si>
    <t>1 НДС</t>
  </si>
  <si>
    <t>1 Объем катриджа</t>
  </si>
  <si>
    <t>2 Цена за уп с НДС</t>
  </si>
  <si>
    <t>3 НДС</t>
  </si>
  <si>
    <t>2 НДС</t>
  </si>
  <si>
    <t>2 Объем катриджа</t>
  </si>
  <si>
    <t>3 Цена за уп с НДС</t>
  </si>
  <si>
    <t>3 Объем катриджа</t>
  </si>
  <si>
    <t>Коэф. вариации*</t>
  </si>
  <si>
    <t>2. Метод определения цены единицы планируемого к закупке лекарственного препарата: Тарифный метод. Информация о ценах производителей представлена в Государственном реестре предельных отпускных цен производителей на лекарственные препараты, включенные в перечень жизненно необходимых и важнейших лекарственных препаратов  по адресу в сети Интернет http://grls.rosminzdrav.ru/:</t>
  </si>
  <si>
    <t>1 Кол-во шт в уп</t>
  </si>
  <si>
    <t>2 Кол-во шт в уп</t>
  </si>
  <si>
    <t>3 Кол-во шт в уп</t>
  </si>
  <si>
    <t>2 Цена за единицу без НДС</t>
  </si>
  <si>
    <t>1 Цена за единицу без НДС</t>
  </si>
  <si>
    <t>3 Цена за единицу без НДС</t>
  </si>
  <si>
    <t>3. Расчет средневзвешенной цены на основании всех заключенных заказчиком и исполненных поставщиком государственных (муниципальных) контрактов или договоров на поставку планируемого к закупке лекарственного препарата с учетом эквивалентных лекарственных форм и дозировок за 12 месяцев, предшествующих месяцу расчета НМЦК, начальной цены единицы лекарственного препарата, за исключением государственных (муниципальных) контрактов или договоров на поставку лекарственных препаратов, необходимых для назначения пациенту при наличии медицинских показаний (индивидуальная непереносимость, по жизненным показаниям) по решению врачебной комиссии медицинской организации.</t>
  </si>
  <si>
    <t>Таблица цен для определения начальной (максимальной) цены контракта методом расчета средневзвешенной цены</t>
  </si>
  <si>
    <t>№
п/п</t>
  </si>
  <si>
    <t>Средневзвешенная цена</t>
  </si>
  <si>
    <t>Кол-во закупленных ЛП в эквивалентных лекарственных формах и дозировках</t>
  </si>
  <si>
    <t>Начальная (максимальная) цена  контракта (далее - НМЦК) определена в соответствии Приказом Министерства здравоохранения РФ от 19 декабря 2019 г. N 1064н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лекарственных препаратов (ЛП) для медицинского применения” (далее – Порядок).</t>
  </si>
  <si>
    <t>1 Цена за единицу без НДС и оптовой надбавки</t>
  </si>
  <si>
    <r>
      <t xml:space="preserve">4. Использование цены, которая рассчитывается автоматически в единой государственной информационной системе в сфере здравоохранения (далее - референтная цена) </t>
    </r>
    <r>
      <rPr>
        <b/>
        <sz val="10"/>
        <color indexed="10"/>
        <rFont val="Times New Roman"/>
        <family val="1"/>
        <charset val="204"/>
      </rPr>
      <t>(референтная цена отсутствует)</t>
    </r>
  </si>
  <si>
    <t>Дозировка</t>
  </si>
  <si>
    <t>Единица измерения</t>
  </si>
  <si>
    <t>Референтная цена (руб.)</t>
  </si>
  <si>
    <t>Минимальное значение референтной цены:</t>
  </si>
  <si>
    <t>Сводная информация о значениях цен за единицу планируемого к закупке лекарственного препарата, определенных в соответствии с пунктом 2 Порядка:</t>
  </si>
  <si>
    <t>Международное непатентованное наименование  или химическое,  группировочное наименование лекарственного препарата</t>
  </si>
  <si>
    <t>Метод определения цены единицы лекарственного препарата</t>
  </si>
  <si>
    <t>Метод сопоставимых рыночных цен (анализа рынка)</t>
  </si>
  <si>
    <t>Тарифный метод</t>
  </si>
  <si>
    <t>Расчет средневзвешенной цены</t>
  </si>
  <si>
    <t>Референтная цена</t>
  </si>
  <si>
    <t>-</t>
  </si>
  <si>
    <t xml:space="preserve">Расчет НМЦК осуществляется в соответствии с пунктом 9 Порядка по формуле: </t>
  </si>
  <si>
    <t>n - количество поставляемых лекарственных препаратов;</t>
  </si>
  <si>
    <t>Vi - объем поставки i-го лекарственного препарата.</t>
  </si>
  <si>
    <t>№</t>
  </si>
  <si>
    <t>Объем поставки лекарственного препарата (ед. изм.)</t>
  </si>
  <si>
    <t>НМЦК, руб.</t>
  </si>
  <si>
    <t>ИТОГО:</t>
  </si>
  <si>
    <t>Цена единицы планируемого к закупке ЛП, определенная в соответствии с пунктом 2 Порядка (руб.)</t>
  </si>
  <si>
    <t>НДС 10%</t>
  </si>
  <si>
    <t>Реестровый номер контракта, дата заключения контракта</t>
  </si>
  <si>
    <t>Дата заключения контракта</t>
  </si>
  <si>
    <t>Дата исполнения контракта</t>
  </si>
  <si>
    <t>Ссылка на страницу в сети Интернет</t>
  </si>
  <si>
    <t>Баралгин М р-р для в/в, в/м введ 500 мг/мл (5 амп. по 5 мл)</t>
  </si>
  <si>
    <t>ЖНВЛП</t>
  </si>
  <si>
    <t>Глюкоза р-р для в/в. введ. 400 мг/мл (10 амп. по 10 мл)</t>
  </si>
  <si>
    <t>Преднизолон для в/в, в/м введ 30 мг/мл (10 амп. по 1 мл)</t>
  </si>
  <si>
    <t>Папаверина гидрохлорид р-р для инъекций 20 мг/мл (10 амп. по 2 мл)</t>
  </si>
  <si>
    <t>Кордиамин р-р для инъекций 250 мг/мл (10 амп. по 2 мл)</t>
  </si>
  <si>
    <t>Адреналина гидрохлорид р-р для инъекций 1 мг/мл (5 амп. по 1 мл)</t>
  </si>
  <si>
    <t>Фуросемид р-р для в/в, в/м введ 10 мг/мл (10 амп. по 2 мл)</t>
  </si>
  <si>
    <t>Анальгин р-р для в/в, в/м введ 500 мг/мл (10 амп. по 2 мл)</t>
  </si>
  <si>
    <t>Эуфиллин р-р для в/в. введ. 24 мг/мл (10 амп. по 5 мл)</t>
  </si>
  <si>
    <t>Метилурацил мазь 10%, 25 г</t>
  </si>
  <si>
    <t>Пустырника настойка, 25 мл</t>
  </si>
  <si>
    <t>Корвалол капли, 25 мл</t>
  </si>
  <si>
    <t>Валерианы настойка, 25 мл</t>
  </si>
  <si>
    <t>Валемидин капли, 25 мл</t>
  </si>
  <si>
    <t>Андипал в таблетках, 10 шт</t>
  </si>
  <si>
    <t>Валидол в таблетках 60 мг, 10 штук</t>
  </si>
  <si>
    <t>Кетанов в таблетках 10 мг, 20 штук</t>
  </si>
  <si>
    <t>Нитроглицерин в таблетках 0,5 мг, 40 штук</t>
  </si>
  <si>
    <t>Моксонитекс в таблетках 0,4 мг, 14 штук</t>
  </si>
  <si>
    <t>Окомистин капли 0,01%, 10 мл.</t>
  </si>
  <si>
    <t>Аммиак р-р 10%, 40 мл.</t>
  </si>
  <si>
    <t>Натрия хлорид р-р для инфузий 0,9%, 500 мл.</t>
  </si>
  <si>
    <t>Перекись водорода 3%, 100 мл.</t>
  </si>
  <si>
    <t>Хлоргексидина биглюконата р-р 0,05%, 100 мл.</t>
  </si>
  <si>
    <t>Сульфацил натрия капли 20%, (2 туб. по 1,5 мл)</t>
  </si>
  <si>
    <t>Метамизол натрия</t>
  </si>
  <si>
    <t>шт</t>
  </si>
  <si>
    <t>Кол-во ЛП (мл/шт)</t>
  </si>
  <si>
    <t>Наименование товара</t>
  </si>
  <si>
    <t>Да</t>
  </si>
  <si>
    <t>21.20.10.232-000011-1-00239-0000000000000</t>
  </si>
  <si>
    <t>21.20.10.134-000008-1-00017-0000000000000</t>
  </si>
  <si>
    <t>21.20.10.180-000002-1-00045-0000000000000</t>
  </si>
  <si>
    <t>21.20.10.113-000006-1-00055-0000000000000</t>
  </si>
  <si>
    <t>21.20.10.259-000001-1-00022-0000000000000</t>
  </si>
  <si>
    <t>21.20.10.141-000037-1-00041-0000000000000</t>
  </si>
  <si>
    <t>21.20.10.143-000008-1-00036-0000000000000</t>
  </si>
  <si>
    <t>21.20.10.254-000008-1-00068-0000000000000</t>
  </si>
  <si>
    <t>21.20.10.169-000004-1-00059-0000000000000</t>
  </si>
  <si>
    <t>21.20.10.235-000106-1-00191-0000000000000</t>
  </si>
  <si>
    <t>21.20.10.235-000002-1-00271-0000000000000</t>
  </si>
  <si>
    <t>21.20.10.235-000049-1-00011-0000000000000</t>
  </si>
  <si>
    <t>21.20.10.235-000047-1-00006-0000000000000</t>
  </si>
  <si>
    <t>21.20.10.232-000016-1-00143-0000000000000</t>
  </si>
  <si>
    <t>21.20.10.141-000015-1-00152-0000000000000</t>
  </si>
  <si>
    <t>21.20.10.221-000001-1-00053-0000000000000</t>
  </si>
  <si>
    <t>21.20.10.141-000002-1-00043-0000000000000</t>
  </si>
  <si>
    <t>21.20.10.142-000002-1-00052-0000000000000</t>
  </si>
  <si>
    <t>21.20.10.261-000032-1-00146-0000000000000</t>
  </si>
  <si>
    <t>21.20.10.259-000005-1-00021-0000000000000</t>
  </si>
  <si>
    <t>21.20.10.134-000013-1-00036-0000000000000</t>
  </si>
  <si>
    <t>21.20.10.158-000001-1-00056-0000000000000</t>
  </si>
  <si>
    <t>21.20.10.158-000002-1-00136-0000000000000</t>
  </si>
  <si>
    <t>21.20.10.261-000018-1-00029-0000000000000</t>
  </si>
  <si>
    <t>Код узла СМНН</t>
  </si>
  <si>
    <t>Наркотческое средство</t>
  </si>
  <si>
    <t>Нет</t>
  </si>
  <si>
    <t>2 Цена за уп без НДС и Оптовой над.</t>
  </si>
  <si>
    <t>3 Цена за уп без НДС и Оптовой над.</t>
  </si>
  <si>
    <t>Декстроза</t>
  </si>
  <si>
    <t>Преднизолон</t>
  </si>
  <si>
    <t>Папаверин</t>
  </si>
  <si>
    <t>Никетамид</t>
  </si>
  <si>
    <t>Эпинефрин</t>
  </si>
  <si>
    <t>Фуросемид</t>
  </si>
  <si>
    <t>Аминофиллин</t>
  </si>
  <si>
    <t>Диоксометилтетрагидропиримидин</t>
  </si>
  <si>
    <t>Пустырника травы настойка</t>
  </si>
  <si>
    <t>25 мл</t>
  </si>
  <si>
    <t>Мяты перечной листьев масло+фенобарбитал+этилбромизовалерианат</t>
  </si>
  <si>
    <t>Боярышника плодов настойка+валерианы лекарственной корневищ с корнями настойка+дифенгидрамин+мяты перечной листьев настойка+пустырника травы настойка</t>
  </si>
  <si>
    <t>Бендазол+метамизол натрия+папаверин+фенобарбитал</t>
  </si>
  <si>
    <t>Левоментола раствор в ментил изовалерате</t>
  </si>
  <si>
    <t>Кеторолак</t>
  </si>
  <si>
    <t>Нитроглицерин</t>
  </si>
  <si>
    <t>Моксонидин</t>
  </si>
  <si>
    <t>Бензилдиметил-миристоиламино-пропиламмоний</t>
  </si>
  <si>
    <t>10 мл</t>
  </si>
  <si>
    <t>Аммиак</t>
  </si>
  <si>
    <t>Водорода пероксид</t>
  </si>
  <si>
    <t>100 мл</t>
  </si>
  <si>
    <t>Хлоргексидин</t>
  </si>
  <si>
    <t>Сульфацетамид</t>
  </si>
  <si>
    <t>ОКПД</t>
  </si>
  <si>
    <t>21.20.10.232</t>
  </si>
  <si>
    <t>21.20.10.113</t>
  </si>
  <si>
    <t>21.20.10.259</t>
  </si>
  <si>
    <t>21.20.10.141</t>
  </si>
  <si>
    <t>21.20.10.143</t>
  </si>
  <si>
    <t>21.20.10.254</t>
  </si>
  <si>
    <t>21.20.10.235</t>
  </si>
  <si>
    <t>21.20.10.221</t>
  </si>
  <si>
    <t>21.20.10.261</t>
  </si>
  <si>
    <t>21.20.10.158</t>
  </si>
  <si>
    <t>г</t>
  </si>
  <si>
    <t>Кофеин-бензоат натрия 20%-1,0 №10</t>
  </si>
  <si>
    <t>Кофеин</t>
  </si>
  <si>
    <t>10 амп. по 1 мл</t>
  </si>
  <si>
    <t>Капотен 25 мг №40</t>
  </si>
  <si>
    <t>Каптоприл</t>
  </si>
  <si>
    <t>Йод</t>
  </si>
  <si>
    <t>Спирт этиловый 70% - 100 мл.</t>
  </si>
  <si>
    <t>Спирт этиловый 95% - 100 мл.</t>
  </si>
  <si>
    <t>Первичная упаковка</t>
  </si>
  <si>
    <t>Ампула</t>
  </si>
  <si>
    <t>Описание упаковки</t>
  </si>
  <si>
    <t>Кол-во Упак</t>
  </si>
  <si>
    <t>Объем</t>
  </si>
  <si>
    <t>Кол-во шт в уп</t>
  </si>
  <si>
    <t>Супрастин 25 мг 20 шт. таблетки</t>
  </si>
  <si>
    <t>Валерианы Лекарственной Корневища С Корнями</t>
  </si>
  <si>
    <t>Натрия Хлорид</t>
  </si>
  <si>
    <t>Йод+[Калия Йодид+Этанол]</t>
  </si>
  <si>
    <t>Хлоропирамин</t>
  </si>
  <si>
    <t>Этанол 70%</t>
  </si>
  <si>
    <t>Этанол 95%</t>
  </si>
  <si>
    <t>Метамизол натрия 2</t>
  </si>
  <si>
    <t>1 Цена за уп без НДС</t>
  </si>
  <si>
    <t>НМЦК</t>
  </si>
  <si>
    <t>Объем, мл</t>
  </si>
  <si>
    <t>№ РУ</t>
  </si>
  <si>
    <t>нет</t>
  </si>
  <si>
    <t>№
расчета</t>
  </si>
  <si>
    <t>Минимальное значение цены из минимальных цен, рассчитанных с одновременным применением методов, предусмотренных пунктом 2 Порядка с учетом  оптовой надбавки (руб.)</t>
  </si>
  <si>
    <t>ЛП-001555</t>
  </si>
  <si>
    <t>ЛСР-000780/08</t>
  </si>
  <si>
    <t>Предельная отпускная за ед. изм</t>
  </si>
  <si>
    <t>отсутствует</t>
  </si>
  <si>
    <t>21.20.10.236-000014-1-00070-0000000000000</t>
  </si>
  <si>
    <t>21.20.10.148-000001-1-00160-0000000000000</t>
  </si>
  <si>
    <t>21.20.10.158-000006-1-00072-0000000000000</t>
  </si>
  <si>
    <t>21.20.10.256-000001-1-00019-0000000000000</t>
  </si>
  <si>
    <t>21.20.10.236</t>
  </si>
  <si>
    <t>21.20.10.148</t>
  </si>
  <si>
    <t>21.20.10.256</t>
  </si>
  <si>
    <t>Папаверина гидрохлорид 2 % 2,0 №10</t>
  </si>
  <si>
    <t>Описание</t>
  </si>
  <si>
    <t>Анальгин 50 % 2,0 №10</t>
  </si>
  <si>
    <t>Дибазол 1% 1,0 №10</t>
  </si>
  <si>
    <t>Бендазол</t>
  </si>
  <si>
    <t>21.20.10.144</t>
  </si>
  <si>
    <t>Димедрол 1% 1,0 №10</t>
  </si>
  <si>
    <t>Дифенгидрамин</t>
  </si>
  <si>
    <t>Линкомицин 30% 1,0 №10</t>
  </si>
  <si>
    <t>Линкомицин</t>
  </si>
  <si>
    <t>21.20.10.191</t>
  </si>
  <si>
    <t>Адреналина гидрохлорид 0,1% 1,0 №5</t>
  </si>
  <si>
    <t>Фуросемид 1% 2,0 10</t>
  </si>
  <si>
    <t>Эуфиллин 2,4% 5,0 №10</t>
  </si>
  <si>
    <t>Пустырника настойка 25 мл</t>
  </si>
  <si>
    <t>Валерианы настойка 25 мл</t>
  </si>
  <si>
    <t>Валерианы лекарственной корневища с корнями</t>
  </si>
  <si>
    <t>Ацетилсалициловая кислота 500 мг №10</t>
  </si>
  <si>
    <t>Ацетилсалициловая кислота</t>
  </si>
  <si>
    <t>21.20.10.131</t>
  </si>
  <si>
    <t>Андипал 20 мг+250 мг+20 мг №10</t>
  </si>
  <si>
    <t>Бендазол + Метамизол натрия + Папаверин + Фенобарбитал</t>
  </si>
  <si>
    <t>Валидол 60 мг №10</t>
  </si>
  <si>
    <t>Кетанов 10 мг № 20</t>
  </si>
  <si>
    <t xml:space="preserve">Кеторолак </t>
  </si>
  <si>
    <t>Конкор 5 мг № 30</t>
  </si>
  <si>
    <t>Бисопролол</t>
  </si>
  <si>
    <t>21.20.10.146</t>
  </si>
  <si>
    <t>Моксонидин-СЗ 0,2 мг № 28</t>
  </si>
  <si>
    <t>21.20.10.142</t>
  </si>
  <si>
    <t>Кордиамин 25% 1,0 № 10</t>
  </si>
  <si>
    <t>Кофеин-бензоат натрия 20 % 1,0 №10</t>
  </si>
  <si>
    <t>Нитроглицерин 0,5 мг №40</t>
  </si>
  <si>
    <t xml:space="preserve">Нитроглицерин </t>
  </si>
  <si>
    <t>Окомистин 0,01%  10 мл</t>
  </si>
  <si>
    <t>Аммиак 10% 40 мл.</t>
  </si>
  <si>
    <t>Вазелин 30 гр</t>
  </si>
  <si>
    <t>Вазелин</t>
  </si>
  <si>
    <t>21.20.10.169</t>
  </si>
  <si>
    <t>Натрия хлорид 0,9% 500 мл</t>
  </si>
  <si>
    <t>Натрия хлорид</t>
  </si>
  <si>
    <t>21.20.10.134</t>
  </si>
  <si>
    <t>Натрия хлорид 0,9%  5,0 №10</t>
  </si>
  <si>
    <t>21.20.23.199</t>
  </si>
  <si>
    <t>Метрогил дента 20 г.</t>
  </si>
  <si>
    <t>Метронидазол + Хлоргексидин</t>
  </si>
  <si>
    <t>21.20.10.111</t>
  </si>
  <si>
    <t>Перекись водорода 3% 100 мл</t>
  </si>
  <si>
    <t>Хлоргексидина биглюконата раствор 0,05% 100 мл</t>
  </si>
  <si>
    <t>Сульфацил натрия 20%  1,5 №2</t>
  </si>
  <si>
    <t>Диоксидин 0,25 мг/мл 150 мл</t>
  </si>
  <si>
    <t>Гидроксиметилхиноксалиндиоксид</t>
  </si>
  <si>
    <t>Клей БФ-6 10 г</t>
  </si>
  <si>
    <t>ДИБУТИЛФТАЛАТ+КАНИФОЛЬ+КАСТОРОВОЕ МАСЛО+ПОЛИВИНИЛБУТИРАЛ+ ФЕНОЛФОРМАЛЬДЕГИДНАЯ СМОЛА+ЭТАНОЛ</t>
  </si>
  <si>
    <t>Торговое наименование</t>
  </si>
  <si>
    <t>МНН или при отсутствии МНН</t>
  </si>
  <si>
    <t>Код позиции</t>
  </si>
  <si>
    <t>Наименование показателя</t>
  </si>
  <si>
    <t>Требования к значениям показателей (характеристик) товара</t>
  </si>
  <si>
    <t>Ед. изм</t>
  </si>
  <si>
    <t>Кол-во</t>
  </si>
  <si>
    <t>10 мг</t>
  </si>
  <si>
    <t>5 мг</t>
  </si>
  <si>
    <t>уп</t>
  </si>
  <si>
    <t>фл</t>
  </si>
  <si>
    <t>Ед. изм.</t>
  </si>
  <si>
    <t>10 амп. по 2 мл</t>
  </si>
  <si>
    <t>500 мг/мл</t>
  </si>
  <si>
    <t>Раствор для инъекций</t>
  </si>
  <si>
    <t>20 мг/мл</t>
  </si>
  <si>
    <t>Раствор для внутривенного и внутримышечного введения</t>
  </si>
  <si>
    <t>10 мг/мл</t>
  </si>
  <si>
    <t>10 амп. по 5 мл</t>
  </si>
  <si>
    <t>10 шт</t>
  </si>
  <si>
    <t>40 шт</t>
  </si>
  <si>
    <t>20 шт</t>
  </si>
  <si>
    <t>30 шт</t>
  </si>
  <si>
    <t>28 шт</t>
  </si>
  <si>
    <t>30 гр</t>
  </si>
  <si>
    <t>2 шт. по 1,5 мл</t>
  </si>
  <si>
    <t>40 мл</t>
  </si>
  <si>
    <t>20 гр</t>
  </si>
  <si>
    <t>150 мл</t>
  </si>
  <si>
    <t>10 г</t>
  </si>
  <si>
    <t>5 амп. по 1 мл</t>
  </si>
  <si>
    <t>Мазь для наружного применения</t>
  </si>
  <si>
    <t>Раствор для наружного применения спиртовой</t>
  </si>
  <si>
    <t>Туба</t>
  </si>
  <si>
    <t>Раствор для внутривенного введения</t>
  </si>
  <si>
    <t>Настойка</t>
  </si>
  <si>
    <t>Таблетки</t>
  </si>
  <si>
    <t>Таблетки подъязычные</t>
  </si>
  <si>
    <t>Таблетки покрытые пленочной оболочкой</t>
  </si>
  <si>
    <t>Раствор для подкожного введения</t>
  </si>
  <si>
    <t>Капли глазные ушные и назальные.</t>
  </si>
  <si>
    <t>Раствор для наружного применения и ингаляций</t>
  </si>
  <si>
    <t>Раствор для инфузий</t>
  </si>
  <si>
    <t>Гель стоматологический</t>
  </si>
  <si>
    <t>Раствор для местного и наружного применения.</t>
  </si>
  <si>
    <t>Раствор для наружного применения.</t>
  </si>
  <si>
    <t>Капли глазные</t>
  </si>
  <si>
    <t>Раствор для местного применения</t>
  </si>
  <si>
    <t>НМЦК без НДС</t>
  </si>
  <si>
    <t>да</t>
  </si>
  <si>
    <t>Предельная отпускная за шт</t>
  </si>
  <si>
    <t>ЛП-№(001970)-(РГ-RU)</t>
  </si>
  <si>
    <t>24.05.2026</t>
  </si>
  <si>
    <t>Не ЖНВЛП</t>
  </si>
  <si>
    <t xml:space="preserve">В соотвествии с п. 10 приказа № 1064н  оптовая надбавка не применяется </t>
  </si>
  <si>
    <t>Цена единицы лекарственного препарата, руб.</t>
  </si>
  <si>
    <t>Цi - цена единицы i-го лекарственного препарата с учетом НДС и оптовой надбавки*</t>
  </si>
  <si>
    <t>*</t>
  </si>
  <si>
    <t>Флакон</t>
  </si>
  <si>
    <t>Флакон-капельница</t>
  </si>
  <si>
    <t>Флакон (полимерный)</t>
  </si>
  <si>
    <t>Флаконы</t>
  </si>
  <si>
    <t>300 мг/мл</t>
  </si>
  <si>
    <t>1 мг/мл.</t>
  </si>
  <si>
    <t>10 мг/мл.</t>
  </si>
  <si>
    <t>24 мг/мл.</t>
  </si>
  <si>
    <t>500 мг</t>
  </si>
  <si>
    <t>20 мг+250 мг+20 мг</t>
  </si>
  <si>
    <t>60 мг</t>
  </si>
  <si>
    <t>25 мг</t>
  </si>
  <si>
    <t>0,2 мг</t>
  </si>
  <si>
    <t>250 мг/мл</t>
  </si>
  <si>
    <t>200 мг/мл</t>
  </si>
  <si>
    <t>0.5 мг</t>
  </si>
  <si>
    <t>0.1 мг/мл</t>
  </si>
  <si>
    <t>100 мг/мл</t>
  </si>
  <si>
    <t>9 мг/мл</t>
  </si>
  <si>
    <t>10 мг/г + 0,5 мг/г</t>
  </si>
  <si>
    <t>30 мг/мл</t>
  </si>
  <si>
    <t>0.5 мг/мл</t>
  </si>
  <si>
    <t>200 мг</t>
  </si>
  <si>
    <t>0,25 мг/мл</t>
  </si>
  <si>
    <t>Кол-во шт/мл/г в уп</t>
  </si>
  <si>
    <t>Омс/пд</t>
  </si>
  <si>
    <t>Цена единицы лекарственного препарата с учетом НДС и оптовой надбавки*, руб.</t>
  </si>
  <si>
    <t>НДС</t>
  </si>
  <si>
    <t xml:space="preserve"> руб. </t>
  </si>
  <si>
    <t>Обеспеч</t>
  </si>
  <si>
    <t>без НДС</t>
  </si>
  <si>
    <t xml:space="preserve">размер НДС </t>
  </si>
  <si>
    <t>итого</t>
  </si>
  <si>
    <t>Количество</t>
  </si>
  <si>
    <t>Упаковок</t>
  </si>
  <si>
    <t>Натрия хлорид 0,9% 200 мл</t>
  </si>
  <si>
    <t>200 мл</t>
  </si>
  <si>
    <t>Лидокаин 10%</t>
  </si>
  <si>
    <t>Лидокаин</t>
  </si>
  <si>
    <t>21.20.10.154</t>
  </si>
  <si>
    <t>Шт.</t>
  </si>
  <si>
    <t>Трихопол 250 мг № 20</t>
  </si>
  <si>
    <t>МЕТРОНИДАЗОЛ</t>
  </si>
  <si>
    <t>Уп.</t>
  </si>
  <si>
    <t>Тетрациклин 100 мг № 20</t>
  </si>
  <si>
    <t>ТЕТРАЦИКЛИН</t>
  </si>
  <si>
    <t>Метронидазол 5 мг/мл 100 мл</t>
  </si>
  <si>
    <t>Метронидазол</t>
  </si>
  <si>
    <t>Метилурацил 10% 25</t>
  </si>
  <si>
    <t>ДИОКСОМЕТИЛТЕТРАГИДРОПИРИМИДИН</t>
  </si>
  <si>
    <t>Хлорофиллипт 2% 20 мл</t>
  </si>
  <si>
    <t>ЭВКАЛИПТА ЛИСТЬЕВ ЭКСТРАКТ</t>
  </si>
  <si>
    <t>21.20.10.156</t>
  </si>
  <si>
    <t>Шт..</t>
  </si>
  <si>
    <t>Облепиховое масло 50 мл</t>
  </si>
  <si>
    <t>ОБЛЕПИХИ МАСЛО</t>
  </si>
  <si>
    <t>Шиповника масло 50 мл</t>
  </si>
  <si>
    <t>ШИПОВНИКА СЕМЯН МАСЛО</t>
  </si>
  <si>
    <t>21.20.10.153</t>
  </si>
  <si>
    <t>Гепариновая мазь 25 г</t>
  </si>
  <si>
    <t>ГЕПАРИН НАТРИЯ+БЕНЗОКАИН+БЕНЗИЛНИКОТИНАТ</t>
  </si>
  <si>
    <t>21.20.10.145</t>
  </si>
  <si>
    <t>РЕТИНОЛ</t>
  </si>
  <si>
    <t>21.10.51.123</t>
  </si>
  <si>
    <t>Супрастин 25 мг № 20</t>
  </si>
  <si>
    <t>ХЛОРОПИРАМИН</t>
  </si>
  <si>
    <t xml:space="preserve"> Спрей для местного и наружного применения дозированный</t>
  </si>
  <si>
    <t xml:space="preserve"> 4.6 мг/доза (10%)</t>
  </si>
  <si>
    <t xml:space="preserve"> Таблетки</t>
  </si>
  <si>
    <t xml:space="preserve"> 250 мг</t>
  </si>
  <si>
    <t xml:space="preserve"> 20 шт.</t>
  </si>
  <si>
    <t xml:space="preserve"> Таблетки, покрытые оболочкой</t>
  </si>
  <si>
    <t xml:space="preserve"> 100 мг</t>
  </si>
  <si>
    <t xml:space="preserve"> Раствор для инфузий</t>
  </si>
  <si>
    <t xml:space="preserve"> Бутыль</t>
  </si>
  <si>
    <t xml:space="preserve"> Мазь для наружного применения</t>
  </si>
  <si>
    <t xml:space="preserve"> Туба</t>
  </si>
  <si>
    <t xml:space="preserve"> Раствор для местного и наружного применения</t>
  </si>
  <si>
    <t xml:space="preserve"> Флакон</t>
  </si>
  <si>
    <t xml:space="preserve"> Масло для приема внутрь, местного и наружного применения</t>
  </si>
  <si>
    <t xml:space="preserve"> 100 ЕД+40 мг+0.8 мг/г</t>
  </si>
  <si>
    <t xml:space="preserve"> Раствор для приема внутрь и наружного применения</t>
  </si>
  <si>
    <t xml:space="preserve"> Раствор для приема внутрь</t>
  </si>
  <si>
    <t xml:space="preserve"> 100000 ЕД/мл</t>
  </si>
  <si>
    <t>10 мл.</t>
  </si>
  <si>
    <t>34.4 мг/мл</t>
  </si>
  <si>
    <t>25 г</t>
  </si>
  <si>
    <t>50 мл</t>
  </si>
  <si>
    <t>20 мл</t>
  </si>
  <si>
    <t>5 мг/мл</t>
  </si>
  <si>
    <t>20 шт.</t>
  </si>
  <si>
    <t>38 г</t>
  </si>
  <si>
    <t>Дата поставки 18.04.2025 год</t>
  </si>
  <si>
    <t>В связи с отсутствием у заказчика исполненных государственных (муниципальных) контрактов или договоров на поставку планируемого к закупке лекарственного препарата в течение последних 12 месяцев расчёт средневзвешенной цены не представляется возможным</t>
  </si>
  <si>
    <t>Р N000193/02</t>
  </si>
  <si>
    <t>П N013516/01</t>
  </si>
  <si>
    <t>ЛП-№(005382)-(РГ-RU)</t>
  </si>
  <si>
    <t>П N012963/01</t>
  </si>
  <si>
    <t>Физиотенз 0,2 мг № 28</t>
  </si>
  <si>
    <t>ЛП-№(009989)-(РГ-RU)</t>
  </si>
  <si>
    <t>Р N002152/01</t>
  </si>
  <si>
    <t>Р N003139/01</t>
  </si>
  <si>
    <t>ЛП-№(004894)-(РГ-RU)</t>
  </si>
  <si>
    <t>ЛП-№(001331)-(РГ-RU)</t>
  </si>
  <si>
    <t>ЛП-№(003548)-(РГ-RU)</t>
  </si>
  <si>
    <t>ЛП-№(001297)-(РГ-RU)</t>
  </si>
  <si>
    <t>ЛС-000913</t>
  </si>
  <si>
    <t>Р N000550/01</t>
  </si>
  <si>
    <t>ЛП-№(000101)-(РГ-RU)</t>
  </si>
  <si>
    <t>ЛП-№(001260)-(РГ-RU)</t>
  </si>
  <si>
    <t>Витамин А 3.44% 10 мл</t>
  </si>
  <si>
    <t>Витамин А 100000 МЕ/мл 10 мл</t>
  </si>
  <si>
    <t>Итого</t>
  </si>
  <si>
    <t>Обоснование начальной (максимальной) цены контракта на закупку "Поставка лекарственных средств для медицинского применения "</t>
  </si>
  <si>
    <t>Вх.№185/кп от 03.06.2026 г</t>
  </si>
  <si>
    <t>Вх.№186/кп от 03.06.2026 г</t>
  </si>
  <si>
    <t>Вх.№187/кп от 03.06.2026 г</t>
  </si>
  <si>
    <t>*Не ЖНВЛП: Закупаемые лекарственные средства не входят в перечень  жизненно необходимых и важнейших лекарственных препаратов на 2026 год</t>
  </si>
  <si>
    <t>Папаверина гидрохлорид 2 % 2 мл №10</t>
  </si>
  <si>
    <t>Анальгин 50 % 2 мл №10</t>
  </si>
  <si>
    <t>Дибазол 1% 1 мл №10</t>
  </si>
  <si>
    <t>Димедрол 1% 1 мл №10</t>
  </si>
  <si>
    <t>Адреналина гидрохлорид 0,1% 1 мл №5</t>
  </si>
  <si>
    <t>Фуросемид 1% 2 мл 10</t>
  </si>
  <si>
    <t>Эуфиллин 2,4% 5 мл №10</t>
  </si>
  <si>
    <t>Кордиамин 25% 1 мл № 10</t>
  </si>
  <si>
    <t>Сульфацил натрия 20%  1,5 мл №2</t>
  </si>
  <si>
    <t>Лекарственная форма: раствор для инъекций. 
Дозировка: 20 мг/мл. 
Первичная упаковка: Ампула
Описание упаковки: 10 амп. по 2 мл</t>
  </si>
  <si>
    <t>Лекарственная форма: Раствор для внутривенного и внутримышечного введения. 
Дозировка: 10 мг/мл. 
Первичная упаковка: Ампула. 
Описание упаковки: 10 амп. по 2 мл</t>
  </si>
  <si>
    <t xml:space="preserve">Лекарственная форма: Настойка. 
Первичная упаковка: Флакон. 
Объем: 25 мл. </t>
  </si>
  <si>
    <t>Лекарственная форма: Настойка. 
Первичная упаковка: Флакон. 
Объем: 25 мл.</t>
  </si>
  <si>
    <t>Лекарственная форма: Таблетки подъязычные. 
Дозировка: 0.5 мг. 
Описание упаковки: 40 шт</t>
  </si>
  <si>
    <t>Лекарственная форма: Раствор для наружного применения и ингаляций.
Дозировка: 100 мг/мл. 
Первичная упаковка: Флакон. 
Объем: 40 мл.</t>
  </si>
  <si>
    <t>Лекарственная форма: мазь для наружного применения. 
Первичная упаковка: туба. 
Описание упаковки: 30 гр.</t>
  </si>
  <si>
    <t>Лекарственная форма: Раствор для инфузий. 
Дозировка: 9 мг/мл. 
Первичная упаковка: Флакон (пластик). 
Объем: 200 мл.</t>
  </si>
  <si>
    <t>Лекарственная форма: растворитель для приготовления лекарственных форм для инъекций
Дозировка: 9 мг/мл. 
Первичная упаковка: ампула.
Описание упаковки: 10 амп. по 5 мл</t>
  </si>
  <si>
    <t>Лекарственная форма: Раствор для наружного применения. 
Дозировка: 0.5 мг/мл. 
Первичная упаковка: Флакон (полимерный). 
Объем: 100 мл</t>
  </si>
  <si>
    <t>Лекарственная форма: капли глазные. 
Дозировка: 200 мг. 
Первичная упаковка: флаконы-капельницы. 
Описание упаковки: 2 шт. по 1,5 мл</t>
  </si>
  <si>
    <t>Лекарственная форма: Спрей для местного и наружного применения дозированный
Дозировка: 4.6 мг/доза (10%)
Объем: 38 г</t>
  </si>
  <si>
    <t>Лекарственная форма: Таблетки, покрытые оболочкой
Дозировка: 100 мг
Описание упаковки: 20 шт.</t>
  </si>
  <si>
    <t>Лекарственная форма: Раствор для инфузий
Первичная упаковка: Бутыль
Дозировка: 5 мг/мл
Объем: 100 мл</t>
  </si>
  <si>
    <t>Лекарственная форма: Масло для приема внутрь, местного и наружного применения
Первичная упаковка: Флакон
Объем: 50 мл</t>
  </si>
  <si>
    <t>Лекарственная форма: Масло для приема внутрь, местного и наружного применения 
Первичная упаковка: Флакон
Объем: 50 мл</t>
  </si>
  <si>
    <t>Лекарственная форма: Раствор для приема внутрь и наружного применения
Первичная упаковка: Флакон
Дозировка: 34.4 мг/мл
Объем: 10 мл.</t>
  </si>
  <si>
    <t>Лекарственная форма: Раствор для приема внутрь
Первичная упаковка: Флакон
Дозировка: 100000 ЕД/мл
Объем: 10 мл.</t>
  </si>
  <si>
    <t>Лекарственная форма: Мазь для наружного применения
Первичная упаковка: Туба
Дозировка: 100 ЕД+40 мг+0.8 мг/г (ГЕПАРИН НАТРИЯ+БЕНЗОКАИН+БЕНЗИЛНИКОТИНАТ) 
Объем: 25 г</t>
  </si>
  <si>
    <t>Лекарственная форма: Таблетки
Дозировка: 25 мг (ХЛОРОПИРАМИН)
Описание упаковки: 20 шт.</t>
  </si>
  <si>
    <t>Лекарственная форма: раствор для внутривенного и внутримышечного введения. Дозировка: 10 мг/мл (Бендазол); Первичная упаковка: Ампула. Описание упаковки: 10 амп. по 1 мл</t>
  </si>
  <si>
    <t>Лекарственная форма: раствор для внутривенного и внутримышечного введения. Дозировка: 10 мг/мл (Дифенгидрамин); Первичная упаковка: Ампула. Описание упаковки: 10 амп. по 1 мл</t>
  </si>
  <si>
    <t>Лекарственная форма: Раствор для инъекций. Дозировка: 1 мг/мл. (Эпинефрин) Первичная упаковка: Ампула. Описание упаковки: 5 амп. по 1 мл</t>
  </si>
  <si>
    <t>Лекарственная форма: Раствор для внутривенного введения. Дозировка: 24 мг/мл.(Аминофиллин) Первичная упаковка: Ампула. Описание упаковки: 10 амп. по 5 мл</t>
  </si>
  <si>
    <t>Андипал 20 мг+250 мг+20 мг+ 20 мг №10</t>
  </si>
  <si>
    <t>Лекарственная форма: таблетки. Дозировка: 20 мг+250 мг+20 мг + 20 мг.(Бендазол + Метамизол натрия + Папаверин + Фенобарбитал) Описание упаковки: 10 шт</t>
  </si>
  <si>
    <t>Лекарственная форма: раствор для внутривенного и внутримышечного введения. Дозировка: 500 мг/мл. (Метамизол натрия) Первичная упаковка: Ампула. Описание упаковки: 10 амп. по 2 мл.</t>
  </si>
  <si>
    <t>Лекарственная форма: гель стоматологический. 
Дозировка: 10 мг/г + 0,5 мг/г.(Метронидазол + Хлоргексидин)
Первичная упаковка: туба. 
Объем: 20 гр.</t>
  </si>
  <si>
    <t>Лекарственная форма: таблетки подъязычные. 
Дозировка: 60 мг (Левоментола раствор в ментил изовалерате) 
Описание упаковки: 10 шт.</t>
  </si>
  <si>
    <t>Лекарственная форма: Таблетки. 
Дозировка: 25 мг (Каптоприл). 
Описание упаковки: 40 шт</t>
  </si>
  <si>
    <t xml:space="preserve">Лекарственная форма: Таблетки покрытые пленочной оболочкой.
Дозировка: 10 мг (Кеторолак); 
Описание упаковки: 20 шт;. </t>
  </si>
  <si>
    <t>Лекарственная форма: Таблетки покрытые пленочной оболочкой. Дозировка: 5 мг (Бисопролол); 
Описание упаковки: 30 шт</t>
  </si>
  <si>
    <t>Лекарственная форма: Таблетки покрытые пленочной оболочкой. Дозировка: 0,2 мг (Моксонидин); 
Описание упаковки: 28 шт.</t>
  </si>
  <si>
    <t>Лекарственная форма: раствор для инъекций. 
Дозировка: 250 мг/мл (Никетамид). 
Первичная упаковка: Ампула. 
Описание упаковки: 10 амп. по 1 мл</t>
  </si>
  <si>
    <t>Лекарственная форма: Раствор для местного и наружного применения. Дозировка: 30 мг/мл (Водорода пероксид). 
Первичная упаковка: Флакон (полимерный)
Объем: 100 мл</t>
  </si>
  <si>
    <t>Лекарственная форма Раствор для наружного применения спиртовой.
Первичная упаковка: туба. 
Объем: 10 г МНН ДИБУТИЛФТАЛАТ+КАНИФОЛЬ+КАСТОРОВОЕ МАСЛО+ПОЛИВИНИЛБУТИРАЛ+ ФЕНОЛФОРМАЛЬДЕГИДНАЯ СМОЛА+ЭТАНОЛ</t>
  </si>
  <si>
    <t>Лекарственная форма: Таблетки
Дозировка: 250 мг (МЕТРОНИДАЗОЛ)
Описание упаковки: 20 шт.</t>
  </si>
  <si>
    <r>
      <t xml:space="preserve">Лекарственная форма: Мазь для наружного применения
Первичная упаковка: Туба
Объем: 25 мл МНН </t>
    </r>
    <r>
      <rPr>
        <b/>
        <sz val="10"/>
        <color theme="1"/>
        <rFont val="Times New Roman"/>
        <family val="1"/>
        <charset val="204"/>
      </rPr>
      <t>ДИОКСОМЕТИЛТЕТРАГИДРОПИРИМИДИН</t>
    </r>
  </si>
  <si>
    <t>Лекарственная форма: Раствор для местного и наружного применения
Первичная упаковка: Флакон
Дозировка: 20 мг/мл (ЭВКАЛИПТА ЛИСТЬЕВ ЭКСТРАКТ)
Объем: 20 мл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</si>
</sst>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 _₽_-;\-* #,##0\ _₽_-;_-* &quot;-&quot;\ _₽_-;_-@_-"/>
    <numFmt numFmtId="165" formatCode="_-* #,##0.00\ _₽_-;\-* #,##0.00\ _₽_-;_-* &quot;-&quot;??\ _₽_-;_-@_-"/>
    <numFmt numFmtId="166" formatCode="_-* #,##0.00&quot;р.&quot;_-;\-* #,##0.00&quot;р.&quot;_-;_-* &quot;-&quot;??&quot;р.&quot;_-;_-@_-"/>
    <numFmt numFmtId="167" formatCode="_-* #,##0.00_р_._-;\-* #,##0.00_р_._-;_-* &quot;-&quot;??_р_._-;_-@_-"/>
    <numFmt numFmtId="168" formatCode="#,##0.00\ _₽;[Red]\-#,##0.00\ _₽"/>
    <numFmt numFmtId="169" formatCode="0.00_ ;[Red]\-0.00\ "/>
    <numFmt numFmtId="170" formatCode="_-* #,##0.0000\ _₽_-;\-* #,##0.0000\ _₽_-;_-* &quot;-&quot;??\ _₽_-;_-@_-"/>
    <numFmt numFmtId="171" formatCode="#,##0.00000"/>
  </numFmts>
  <fonts count="53" x14ac:knownFonts="1">
    <font>
      <sz val="11"/>
      <color theme="1"/>
      <name val="Calibri"/>
      <family val="2"/>
      <charset val="204"/>
      <scheme val="minor"/>
    </font>
    <font>
      <sz val="11"/>
      <color theme="1"/>
      <name val="Calibri"/>
      <family val="2"/>
      <charset val="204"/>
      <scheme val="minor"/>
    </font>
    <font>
      <b/>
      <sz val="10"/>
      <color theme="1"/>
      <name val="Times New Roman"/>
      <family val="1"/>
      <charset val="204"/>
    </font>
    <font>
      <sz val="10"/>
      <color theme="1"/>
      <name val="Times New Roman"/>
      <family val="1"/>
      <charset val="204"/>
    </font>
    <font>
      <sz val="10"/>
      <color rgb="FF000000"/>
      <name val="Times New Roman"/>
      <family val="1"/>
      <charset val="204"/>
    </font>
    <font>
      <b/>
      <sz val="11"/>
      <color rgb="FF000000"/>
      <name val="Times New Roman"/>
      <family val="1"/>
      <charset val="204"/>
    </font>
    <font>
      <b/>
      <sz val="10"/>
      <name val="Times New Roman"/>
      <family val="1"/>
      <charset val="204"/>
    </font>
    <font>
      <sz val="10"/>
      <name val="Times New Roman"/>
      <family val="1"/>
      <charset val="204"/>
    </font>
    <font>
      <sz val="9"/>
      <color theme="1"/>
      <name val="Times New Roman"/>
      <family val="1"/>
      <charset val="204"/>
    </font>
    <font>
      <sz val="9"/>
      <name val="Times New Roman"/>
      <family val="1"/>
      <charset val="204"/>
    </font>
    <font>
      <sz val="11"/>
      <color theme="1"/>
      <name val="Times New Roman"/>
      <family val="1"/>
      <charset val="204"/>
    </font>
    <font>
      <b/>
      <sz val="11"/>
      <color theme="1"/>
      <name val="Times New Roman"/>
      <family val="1"/>
      <charset val="204"/>
    </font>
    <font>
      <b/>
      <sz val="10"/>
      <color rgb="FF000000"/>
      <name val="Times New Roman"/>
      <family val="1"/>
      <charset val="204"/>
    </font>
    <font>
      <sz val="11"/>
      <name val="Times New Roman"/>
      <family val="1"/>
      <charset val="204"/>
    </font>
    <font>
      <b/>
      <sz val="11"/>
      <name val="Times New Roman"/>
      <family val="1"/>
      <charset val="204"/>
    </font>
    <font>
      <sz val="11"/>
      <color rgb="FF000000"/>
      <name val="Times New Roman"/>
      <family val="1"/>
      <charset val="204"/>
    </font>
    <font>
      <b/>
      <sz val="10"/>
      <color indexed="10"/>
      <name val="Times New Roman"/>
      <family val="1"/>
      <charset val="204"/>
    </font>
    <font>
      <b/>
      <sz val="8"/>
      <name val="Times New Roman"/>
      <family val="1"/>
      <charset val="204"/>
    </font>
    <font>
      <sz val="8"/>
      <name val="Times New Roman"/>
      <family val="1"/>
      <charset val="204"/>
    </font>
    <font>
      <sz val="8"/>
      <color theme="1"/>
      <name val="Times New Roman"/>
      <family val="1"/>
      <charset val="204"/>
    </font>
    <font>
      <sz val="8"/>
      <color rgb="FF000000"/>
      <name val="Times New Roman"/>
      <family val="1"/>
      <charset val="204"/>
    </font>
    <font>
      <b/>
      <sz val="8"/>
      <color rgb="FF000000"/>
      <name val="Times New Roman"/>
      <family val="1"/>
      <charset val="204"/>
    </font>
    <font>
      <b/>
      <sz val="12"/>
      <color theme="1"/>
      <name val="Times New Roman"/>
      <family val="1"/>
      <charset val="204"/>
    </font>
    <font>
      <b/>
      <sz val="12"/>
      <color rgb="FF000000"/>
      <name val="Times New Roman"/>
      <family val="1"/>
      <charset val="204"/>
    </font>
    <font>
      <sz val="10"/>
      <color theme="0"/>
      <name val="Times New Roman"/>
      <family val="1"/>
      <charset val="204"/>
    </font>
    <font>
      <b/>
      <sz val="10"/>
      <color theme="0"/>
      <name val="Times New Roman"/>
      <family val="1"/>
      <charset val="204"/>
    </font>
    <font>
      <sz val="11"/>
      <color theme="0"/>
      <name val="Times New Roman"/>
      <family val="1"/>
      <charset val="204"/>
    </font>
    <font>
      <b/>
      <sz val="11"/>
      <color theme="0"/>
      <name val="Times New Roman"/>
      <family val="1"/>
      <charset val="204"/>
    </font>
    <font>
      <b/>
      <sz val="8"/>
      <color theme="1"/>
      <name val="Times New Roman"/>
      <family val="1"/>
      <charset val="204"/>
    </font>
    <font>
      <sz val="8"/>
      <name val="Calibri"/>
      <family val="2"/>
      <charset val="204"/>
      <scheme val="minor"/>
    </font>
    <font>
      <sz val="9"/>
      <color indexed="81"/>
      <name val="Tahoma"/>
      <family val="2"/>
      <charset val="204"/>
    </font>
    <font>
      <b/>
      <sz val="9"/>
      <color indexed="81"/>
      <name val="Tahoma"/>
      <family val="2"/>
      <charset val="204"/>
    </font>
    <font>
      <b/>
      <sz val="9"/>
      <color theme="1"/>
      <name val="Times New Roman"/>
      <family val="1"/>
      <charset val="204"/>
    </font>
    <font>
      <b/>
      <sz val="9"/>
      <color rgb="FF000000"/>
      <name val="Times New Roman"/>
      <family val="1"/>
      <charset val="204"/>
    </font>
    <font>
      <sz val="9"/>
      <color rgb="FF000000"/>
      <name val="Times New Roman"/>
      <family val="1"/>
      <charset val="204"/>
    </font>
    <font>
      <b/>
      <i/>
      <sz val="12"/>
      <color theme="1"/>
      <name val="Times New Roman"/>
      <family val="1"/>
      <charset val="204"/>
    </font>
    <font>
      <i/>
      <sz val="10"/>
      <color theme="1"/>
      <name val="Times New Roman"/>
      <family val="1"/>
      <charset val="204"/>
    </font>
    <font>
      <b/>
      <i/>
      <sz val="10"/>
      <color theme="1"/>
      <name val="Times New Roman"/>
      <family val="1"/>
      <charset val="204"/>
    </font>
    <font>
      <i/>
      <sz val="8"/>
      <color theme="1"/>
      <name val="Times New Roman"/>
      <family val="1"/>
      <charset val="204"/>
    </font>
    <font>
      <b/>
      <i/>
      <sz val="11"/>
      <color rgb="FF000000"/>
      <name val="Times New Roman"/>
      <family val="1"/>
      <charset val="204"/>
    </font>
    <font>
      <i/>
      <sz val="11"/>
      <color theme="1"/>
      <name val="Calibri"/>
      <family val="2"/>
      <charset val="204"/>
      <scheme val="minor"/>
    </font>
    <font>
      <sz val="9"/>
      <color theme="0"/>
      <name val="Times New Roman"/>
      <family val="1"/>
      <charset val="204"/>
    </font>
    <font>
      <b/>
      <sz val="9"/>
      <color theme="0"/>
      <name val="Times New Roman"/>
      <family val="1"/>
      <charset val="204"/>
    </font>
    <font>
      <sz val="9"/>
      <color theme="0"/>
      <name val="Calibri"/>
      <family val="2"/>
      <charset val="204"/>
      <scheme val="minor"/>
    </font>
    <font>
      <sz val="9"/>
      <color theme="1"/>
      <name val="Calibri"/>
      <family val="2"/>
      <charset val="204"/>
      <scheme val="minor"/>
    </font>
    <font>
      <sz val="10"/>
      <name val="Arial Cyr"/>
      <charset val="204"/>
    </font>
    <font>
      <sz val="9"/>
      <color theme="1"/>
      <name val="Times New Roman"/>
      <family val="2"/>
      <charset val="204"/>
    </font>
    <font>
      <b/>
      <sz val="11"/>
      <color theme="1"/>
      <name val="Calibri"/>
      <family val="2"/>
      <charset val="204"/>
      <scheme val="minor"/>
    </font>
    <font>
      <b/>
      <sz val="11"/>
      <color rgb="FFEE0000"/>
      <name val="Calibri"/>
      <family val="2"/>
      <charset val="204"/>
      <scheme val="minor"/>
    </font>
    <font>
      <sz val="12"/>
      <color theme="1"/>
      <name val="Times New Roman"/>
      <family val="1"/>
      <charset val="204"/>
    </font>
    <font>
      <b/>
      <sz val="11"/>
      <color rgb="FFFF0000"/>
      <name val="Calibri"/>
      <family val="2"/>
      <charset val="204"/>
      <scheme val="minor"/>
    </font>
    <font>
      <b/>
      <sz val="10"/>
      <name val="Arial Cyr"/>
      <charset val="204"/>
    </font>
    <font>
      <sz val="11"/>
      <name val="Calibri"/>
      <family val="2"/>
      <charset val="204"/>
      <scheme val="minor"/>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auto="1"/>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style="thin">
        <color auto="1"/>
      </left>
      <right style="medium">
        <color indexed="64"/>
      </right>
      <top style="thin">
        <color auto="1"/>
      </top>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9">
    <xf numFmtId="0" fontId="0" fillId="0" borderId="0"/>
    <xf numFmtId="166"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 fillId="0" borderId="0"/>
    <xf numFmtId="0" fontId="45" fillId="0" borderId="0"/>
    <xf numFmtId="165" fontId="1" fillId="0" borderId="0" applyFont="0" applyFill="0" applyBorder="0" applyAlignment="0" applyProtection="0"/>
    <xf numFmtId="9" fontId="1" fillId="0" borderId="0" applyFont="0" applyFill="0" applyBorder="0" applyAlignment="0" applyProtection="0"/>
    <xf numFmtId="165" fontId="46" fillId="0" borderId="0" applyFont="0" applyFill="0" applyBorder="0" applyAlignment="0" applyProtection="0"/>
  </cellStyleXfs>
  <cellXfs count="372">
    <xf numFmtId="0" fontId="0" fillId="0" borderId="0" xfId="0"/>
    <xf numFmtId="0" fontId="3" fillId="0" borderId="0" xfId="0" applyFont="1" applyProtection="1">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center"/>
      <protection locked="0"/>
    </xf>
    <xf numFmtId="167" fontId="3" fillId="0" borderId="0" xfId="0" applyNumberFormat="1" applyFont="1"/>
    <xf numFmtId="0" fontId="3" fillId="0" borderId="0" xfId="0" applyFont="1"/>
    <xf numFmtId="0" fontId="7" fillId="0" borderId="0" xfId="0" applyFont="1"/>
    <xf numFmtId="0" fontId="8" fillId="0" borderId="0" xfId="0" applyFont="1" applyProtection="1">
      <protection locked="0"/>
    </xf>
    <xf numFmtId="0" fontId="8" fillId="0" borderId="0" xfId="0" applyFont="1"/>
    <xf numFmtId="0" fontId="8" fillId="0" borderId="0" xfId="0" applyFont="1" applyAlignment="1" applyProtection="1">
      <alignment horizontal="center"/>
      <protection locked="0"/>
    </xf>
    <xf numFmtId="0" fontId="9" fillId="0" borderId="0" xfId="0" applyFont="1"/>
    <xf numFmtId="9" fontId="3" fillId="0" borderId="0" xfId="2" applyFont="1" applyProtection="1">
      <protection locked="0"/>
    </xf>
    <xf numFmtId="9" fontId="3" fillId="0" borderId="0" xfId="2" applyFont="1" applyBorder="1" applyProtection="1">
      <protection locked="0"/>
    </xf>
    <xf numFmtId="9" fontId="8" fillId="0" borderId="0" xfId="2" applyFont="1" applyProtection="1">
      <protection locked="0"/>
    </xf>
    <xf numFmtId="0" fontId="3" fillId="0" borderId="0" xfId="0" applyFont="1" applyAlignment="1" applyProtection="1">
      <alignment vertical="top"/>
      <protection locked="0"/>
    </xf>
    <xf numFmtId="0" fontId="13" fillId="0" borderId="0" xfId="0" applyFont="1"/>
    <xf numFmtId="0" fontId="5" fillId="0" borderId="0" xfId="0" applyFont="1" applyAlignment="1" applyProtection="1">
      <alignment vertical="top"/>
      <protection locked="0"/>
    </xf>
    <xf numFmtId="0" fontId="5" fillId="0" borderId="0" xfId="0" applyFont="1" applyAlignment="1" applyProtection="1">
      <alignment vertical="top" wrapText="1"/>
      <protection locked="0"/>
    </xf>
    <xf numFmtId="0" fontId="5" fillId="0" borderId="0" xfId="0" applyFont="1" applyAlignment="1">
      <alignment vertical="top" wrapText="1"/>
    </xf>
    <xf numFmtId="167" fontId="0" fillId="0" borderId="0" xfId="1" applyNumberFormat="1" applyFont="1" applyBorder="1" applyAlignment="1" applyProtection="1">
      <alignment vertical="center" wrapText="1"/>
    </xf>
    <xf numFmtId="0" fontId="2" fillId="0" borderId="0" xfId="0" applyFont="1" applyAlignment="1">
      <alignment vertical="center" wrapText="1"/>
    </xf>
    <xf numFmtId="0" fontId="15" fillId="0" borderId="0" xfId="0" applyFont="1" applyAlignment="1" applyProtection="1">
      <alignment vertical="top" wrapText="1"/>
      <protection locked="0"/>
    </xf>
    <xf numFmtId="0" fontId="12" fillId="0" borderId="1" xfId="0" applyFont="1" applyBorder="1" applyAlignment="1">
      <alignment horizontal="center" vertical="center" wrapText="1"/>
    </xf>
    <xf numFmtId="167" fontId="0" fillId="0" borderId="0" xfId="1" applyNumberFormat="1" applyFont="1" applyBorder="1" applyAlignment="1" applyProtection="1">
      <alignment vertical="top" wrapText="1"/>
    </xf>
    <xf numFmtId="9" fontId="3" fillId="0" borderId="0" xfId="2" applyFont="1" applyBorder="1" applyAlignment="1" applyProtection="1">
      <alignment vertical="top"/>
      <protection locked="0"/>
    </xf>
    <xf numFmtId="165" fontId="4" fillId="0" borderId="1" xfId="3" applyFont="1" applyBorder="1" applyAlignment="1">
      <alignment horizontal="center" vertical="top" wrapText="1"/>
    </xf>
    <xf numFmtId="0" fontId="2" fillId="0" borderId="1" xfId="0" applyFont="1" applyBorder="1" applyAlignment="1">
      <alignment horizontal="center" vertical="center" wrapText="1"/>
    </xf>
    <xf numFmtId="0" fontId="3" fillId="0" borderId="0" xfId="0" applyFont="1" applyAlignment="1">
      <alignment horizontal="left" vertical="top" wrapText="1"/>
    </xf>
    <xf numFmtId="0" fontId="4" fillId="0" borderId="1" xfId="0" applyFont="1" applyBorder="1" applyAlignment="1">
      <alignment horizontal="center" vertical="center"/>
    </xf>
    <xf numFmtId="0" fontId="1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2" fillId="0" borderId="1" xfId="0" applyFont="1" applyBorder="1" applyAlignment="1">
      <alignment vertical="center"/>
    </xf>
    <xf numFmtId="49" fontId="3" fillId="0" borderId="1" xfId="0" applyNumberFormat="1" applyFont="1" applyBorder="1" applyAlignment="1">
      <alignment vertical="top" wrapText="1"/>
    </xf>
    <xf numFmtId="0" fontId="3" fillId="0" borderId="2" xfId="0" applyFont="1" applyBorder="1" applyAlignment="1">
      <alignment vertical="top" wrapText="1"/>
    </xf>
    <xf numFmtId="0" fontId="3" fillId="0" borderId="0" xfId="0" applyFont="1" applyAlignment="1">
      <alignment wrapText="1"/>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49" fontId="10" fillId="0" borderId="1" xfId="0" applyNumberFormat="1" applyFont="1" applyBorder="1" applyAlignment="1">
      <alignment vertical="top" wrapText="1"/>
    </xf>
    <xf numFmtId="0" fontId="10" fillId="0" borderId="0" xfId="0" applyFont="1" applyAlignment="1">
      <alignment horizontal="left" vertical="top" wrapText="1"/>
    </xf>
    <xf numFmtId="0" fontId="11" fillId="0" borderId="0" xfId="0" applyFont="1" applyAlignment="1">
      <alignment horizontal="left" vertical="center" wrapText="1"/>
    </xf>
    <xf numFmtId="0" fontId="10" fillId="0" borderId="0" xfId="0" applyFont="1" applyProtection="1">
      <protection locked="0"/>
    </xf>
    <xf numFmtId="165" fontId="5" fillId="0" borderId="0" xfId="3" applyFont="1" applyBorder="1" applyAlignment="1" applyProtection="1">
      <alignment vertical="top" wrapText="1"/>
      <protection locked="0"/>
    </xf>
    <xf numFmtId="0" fontId="3" fillId="0" borderId="1" xfId="0" applyFont="1" applyBorder="1" applyProtection="1">
      <protection locked="0"/>
    </xf>
    <xf numFmtId="0" fontId="12" fillId="0" borderId="2" xfId="0" applyFont="1" applyBorder="1" applyAlignment="1">
      <alignment horizontal="center" vertical="top" wrapText="1"/>
    </xf>
    <xf numFmtId="0" fontId="4" fillId="0" borderId="2" xfId="0" applyFont="1" applyBorder="1" applyAlignment="1">
      <alignment horizontal="center" vertical="top" wrapText="1"/>
    </xf>
    <xf numFmtId="0" fontId="3" fillId="0" borderId="1" xfId="0" applyFont="1" applyBorder="1" applyAlignment="1" applyProtection="1">
      <alignment vertical="top"/>
      <protection locked="0"/>
    </xf>
    <xf numFmtId="9" fontId="3" fillId="0" borderId="0" xfId="0" applyNumberFormat="1" applyFont="1" applyAlignment="1" applyProtection="1">
      <alignment vertical="top"/>
      <protection locked="0"/>
    </xf>
    <xf numFmtId="0" fontId="4" fillId="0" borderId="1" xfId="3" applyNumberFormat="1" applyFont="1" applyBorder="1" applyAlignment="1">
      <alignment horizontal="center" vertical="top" wrapText="1"/>
    </xf>
    <xf numFmtId="0" fontId="3" fillId="0" borderId="0" xfId="0" applyFont="1" applyAlignment="1" applyProtection="1">
      <alignment wrapText="1"/>
      <protection locked="0"/>
    </xf>
    <xf numFmtId="0" fontId="7" fillId="0" borderId="1" xfId="0" applyFont="1" applyBorder="1" applyAlignment="1" applyProtection="1">
      <alignment horizontal="left" vertical="top" wrapText="1"/>
      <protection locked="0"/>
    </xf>
    <xf numFmtId="0" fontId="2" fillId="0" borderId="0" xfId="0" applyFont="1" applyProtection="1">
      <protection locked="0"/>
    </xf>
    <xf numFmtId="0" fontId="3" fillId="0" borderId="0" xfId="0" applyFont="1" applyAlignment="1">
      <alignment horizontal="left" vertical="top"/>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165" fontId="3" fillId="0" borderId="0" xfId="3" applyFont="1" applyAlignment="1">
      <alignment vertical="top"/>
    </xf>
    <xf numFmtId="0" fontId="7" fillId="0" borderId="0" xfId="0" applyFont="1" applyAlignment="1" applyProtection="1">
      <alignment horizontal="left" vertical="top" wrapText="1"/>
      <protection locked="0"/>
    </xf>
    <xf numFmtId="0" fontId="6" fillId="0" borderId="0" xfId="0" applyFont="1" applyProtection="1">
      <protection locked="0"/>
    </xf>
    <xf numFmtId="0" fontId="7" fillId="0" borderId="0" xfId="0" applyFont="1" applyProtection="1">
      <protection locked="0"/>
    </xf>
    <xf numFmtId="0" fontId="13" fillId="0" borderId="0" xfId="0" applyFont="1" applyAlignment="1">
      <alignment vertical="center" wrapText="1"/>
    </xf>
    <xf numFmtId="0" fontId="6" fillId="0" borderId="0" xfId="0" applyFont="1" applyAlignment="1" applyProtection="1">
      <alignment horizontal="left" vertical="center" wrapText="1"/>
      <protection locked="0"/>
    </xf>
    <xf numFmtId="0" fontId="18" fillId="0" borderId="3" xfId="0" applyFont="1" applyBorder="1" applyAlignment="1" applyProtection="1">
      <alignment horizontal="left" vertical="top" wrapText="1"/>
      <protection locked="0"/>
    </xf>
    <xf numFmtId="0" fontId="18" fillId="2" borderId="3" xfId="0" applyFont="1" applyFill="1" applyBorder="1" applyAlignment="1" applyProtection="1">
      <alignment horizontal="left" vertical="top" wrapText="1"/>
      <protection locked="0"/>
    </xf>
    <xf numFmtId="0" fontId="7" fillId="0" borderId="0" xfId="0" applyFont="1" applyAlignment="1" applyProtection="1">
      <alignment horizontal="left" vertical="top"/>
      <protection locked="0"/>
    </xf>
    <xf numFmtId="0" fontId="18" fillId="0" borderId="0" xfId="0" applyFont="1" applyAlignment="1" applyProtection="1">
      <alignment vertical="top"/>
      <protection locked="0"/>
    </xf>
    <xf numFmtId="165" fontId="7" fillId="2" borderId="1" xfId="3" applyFont="1" applyFill="1" applyBorder="1" applyAlignment="1" applyProtection="1">
      <alignment horizontal="left" vertical="top" wrapText="1"/>
      <protection locked="0"/>
    </xf>
    <xf numFmtId="9" fontId="7" fillId="2" borderId="1" xfId="2" applyFont="1" applyFill="1" applyBorder="1" applyAlignment="1" applyProtection="1">
      <alignment horizontal="left" vertical="top" wrapText="1"/>
      <protection locked="0"/>
    </xf>
    <xf numFmtId="165" fontId="6" fillId="2" borderId="1" xfId="3" applyFont="1" applyFill="1" applyBorder="1" applyAlignment="1" applyProtection="1">
      <alignment horizontal="left" vertical="top" wrapText="1"/>
      <protection locked="0"/>
    </xf>
    <xf numFmtId="0" fontId="7" fillId="2" borderId="1" xfId="3" applyNumberFormat="1" applyFont="1" applyFill="1" applyBorder="1" applyAlignment="1" applyProtection="1">
      <alignment horizontal="left" vertical="top" wrapText="1"/>
      <protection locked="0"/>
    </xf>
    <xf numFmtId="165" fontId="14" fillId="2" borderId="1" xfId="3" applyFont="1" applyFill="1" applyBorder="1" applyAlignment="1" applyProtection="1">
      <alignment horizontal="left" vertical="top" wrapText="1"/>
      <protection locked="0"/>
    </xf>
    <xf numFmtId="165" fontId="7" fillId="2" borderId="6" xfId="3" applyFont="1" applyFill="1" applyBorder="1" applyAlignment="1" applyProtection="1">
      <alignment horizontal="left" vertical="top" wrapText="1"/>
      <protection locked="0"/>
    </xf>
    <xf numFmtId="165" fontId="14" fillId="2" borderId="17" xfId="3" applyFont="1" applyFill="1" applyBorder="1" applyAlignment="1" applyProtection="1">
      <alignment horizontal="left" vertical="top" wrapText="1"/>
      <protection locked="0"/>
    </xf>
    <xf numFmtId="0" fontId="14" fillId="2" borderId="17" xfId="0" applyFont="1" applyFill="1" applyBorder="1" applyAlignment="1" applyProtection="1">
      <alignment horizontal="left" vertical="top" wrapText="1"/>
      <protection locked="0"/>
    </xf>
    <xf numFmtId="0" fontId="14" fillId="0" borderId="0" xfId="0" applyFont="1" applyAlignment="1">
      <alignment vertical="center"/>
    </xf>
    <xf numFmtId="0" fontId="6" fillId="0" borderId="0" xfId="0" applyFont="1" applyAlignment="1" applyProtection="1">
      <alignment horizontal="left"/>
      <protection locked="0"/>
    </xf>
    <xf numFmtId="0" fontId="7" fillId="0" borderId="8" xfId="0" applyFont="1" applyBorder="1" applyAlignment="1" applyProtection="1">
      <alignment vertical="center" wrapText="1"/>
      <protection locked="0"/>
    </xf>
    <xf numFmtId="0" fontId="7" fillId="0" borderId="0" xfId="0" applyFont="1" applyAlignment="1" applyProtection="1">
      <alignment vertical="center" wrapText="1"/>
      <protection locked="0"/>
    </xf>
    <xf numFmtId="0" fontId="18" fillId="0" borderId="1" xfId="0" applyFont="1" applyBorder="1" applyAlignment="1" applyProtection="1">
      <alignment vertical="top" wrapText="1"/>
      <protection locked="0"/>
    </xf>
    <xf numFmtId="0" fontId="2" fillId="0" borderId="1" xfId="0" applyFont="1" applyBorder="1" applyAlignment="1">
      <alignment vertical="top"/>
    </xf>
    <xf numFmtId="0" fontId="2" fillId="0" borderId="1" xfId="0" applyFont="1" applyBorder="1" applyAlignment="1">
      <alignment vertical="top" wrapText="1"/>
    </xf>
    <xf numFmtId="0" fontId="3" fillId="0" borderId="1" xfId="0" applyFont="1" applyBorder="1" applyAlignment="1">
      <alignment vertical="top"/>
    </xf>
    <xf numFmtId="0" fontId="3" fillId="0" borderId="1" xfId="0" applyFont="1" applyBorder="1" applyAlignment="1">
      <alignment vertical="top" wrapText="1"/>
    </xf>
    <xf numFmtId="0" fontId="2" fillId="4" borderId="1" xfId="0" applyFont="1" applyFill="1" applyBorder="1" applyAlignment="1">
      <alignment vertical="top"/>
    </xf>
    <xf numFmtId="0" fontId="3" fillId="4" borderId="0" xfId="0" applyFont="1" applyFill="1" applyAlignment="1">
      <alignment vertical="top"/>
    </xf>
    <xf numFmtId="0" fontId="3" fillId="4" borderId="1" xfId="0" applyFont="1" applyFill="1" applyBorder="1" applyAlignment="1">
      <alignment vertical="top"/>
    </xf>
    <xf numFmtId="0" fontId="17" fillId="2" borderId="3"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17" fillId="0" borderId="3" xfId="0" applyFont="1" applyBorder="1" applyAlignment="1" applyProtection="1">
      <alignment horizontal="left" vertical="top" wrapText="1"/>
      <protection locked="0"/>
    </xf>
    <xf numFmtId="165" fontId="7" fillId="0" borderId="1" xfId="3" applyFont="1" applyFill="1" applyBorder="1" applyAlignment="1" applyProtection="1">
      <alignment horizontal="left" vertical="top" wrapText="1"/>
      <protection locked="0"/>
    </xf>
    <xf numFmtId="9" fontId="7" fillId="0" borderId="1" xfId="2" applyFont="1" applyFill="1" applyBorder="1" applyAlignment="1" applyProtection="1">
      <alignment horizontal="left" vertical="top" wrapText="1"/>
      <protection locked="0"/>
    </xf>
    <xf numFmtId="165" fontId="6" fillId="0" borderId="1" xfId="3" applyFont="1" applyFill="1" applyBorder="1" applyAlignment="1" applyProtection="1">
      <alignment horizontal="left" vertical="top" wrapText="1"/>
      <protection locked="0"/>
    </xf>
    <xf numFmtId="0" fontId="7" fillId="0" borderId="1" xfId="3" applyNumberFormat="1" applyFont="1" applyFill="1" applyBorder="1" applyAlignment="1" applyProtection="1">
      <alignment horizontal="left" vertical="top" wrapText="1"/>
      <protection locked="0"/>
    </xf>
    <xf numFmtId="165" fontId="14" fillId="0" borderId="1" xfId="3" applyFont="1" applyFill="1" applyBorder="1" applyAlignment="1" applyProtection="1">
      <alignment horizontal="left" vertical="top" wrapText="1"/>
      <protection locked="0"/>
    </xf>
    <xf numFmtId="165" fontId="7" fillId="0" borderId="6" xfId="3" applyFont="1" applyFill="1" applyBorder="1" applyAlignment="1" applyProtection="1">
      <alignment horizontal="left" vertical="top" wrapText="1"/>
      <protection locked="0"/>
    </xf>
    <xf numFmtId="165" fontId="7" fillId="0" borderId="7" xfId="3" applyFont="1" applyFill="1" applyBorder="1" applyAlignment="1" applyProtection="1">
      <alignment horizontal="left" vertical="top" wrapText="1"/>
      <protection locked="0"/>
    </xf>
    <xf numFmtId="165" fontId="14" fillId="0" borderId="17" xfId="3" applyFont="1" applyFill="1" applyBorder="1" applyAlignment="1" applyProtection="1">
      <alignment horizontal="left" vertical="top" wrapText="1"/>
      <protection locked="0"/>
    </xf>
    <xf numFmtId="165" fontId="7" fillId="0" borderId="7" xfId="0" applyNumberFormat="1" applyFont="1" applyBorder="1" applyAlignment="1" applyProtection="1">
      <alignment horizontal="left" vertical="top" wrapText="1"/>
      <protection locked="0"/>
    </xf>
    <xf numFmtId="165" fontId="7" fillId="2" borderId="17" xfId="3" applyFont="1" applyFill="1" applyBorder="1" applyAlignment="1" applyProtection="1">
      <alignment horizontal="left" vertical="top" wrapText="1"/>
      <protection locked="0"/>
    </xf>
    <xf numFmtId="165" fontId="7" fillId="0" borderId="1" xfId="3" applyFont="1" applyFill="1" applyBorder="1" applyAlignment="1" applyProtection="1">
      <alignment horizontal="left" vertical="top" wrapText="1"/>
    </xf>
    <xf numFmtId="0" fontId="17" fillId="2" borderId="19" xfId="0" applyFont="1" applyFill="1" applyBorder="1" applyAlignment="1" applyProtection="1">
      <alignment horizontal="left" vertical="top" wrapText="1"/>
      <protection locked="0"/>
    </xf>
    <xf numFmtId="165" fontId="14" fillId="2" borderId="18" xfId="3" applyFont="1" applyFill="1" applyBorder="1" applyAlignment="1" applyProtection="1">
      <alignment horizontal="left" vertical="top" wrapText="1"/>
      <protection locked="0"/>
    </xf>
    <xf numFmtId="165" fontId="14" fillId="2" borderId="20" xfId="3" applyFont="1" applyFill="1" applyBorder="1" applyAlignment="1" applyProtection="1">
      <alignment horizontal="left" vertical="top" wrapText="1"/>
      <protection locked="0"/>
    </xf>
    <xf numFmtId="0" fontId="6" fillId="0" borderId="0" xfId="0" applyFont="1" applyAlignment="1" applyProtection="1">
      <alignment horizontal="left" vertical="top"/>
      <protection locked="0"/>
    </xf>
    <xf numFmtId="0" fontId="13" fillId="0" borderId="0" xfId="0" applyFont="1" applyAlignment="1">
      <alignment horizontal="left" vertical="top"/>
    </xf>
    <xf numFmtId="0" fontId="18" fillId="0" borderId="3" xfId="0" applyFont="1" applyBorder="1" applyAlignment="1" applyProtection="1">
      <alignment horizontal="left" vertical="top"/>
      <protection locked="0"/>
    </xf>
    <xf numFmtId="0" fontId="7" fillId="0" borderId="1" xfId="0" applyFont="1" applyBorder="1" applyAlignment="1" applyProtection="1">
      <alignment horizontal="left" vertical="top"/>
      <protection locked="0"/>
    </xf>
    <xf numFmtId="165" fontId="14" fillId="2" borderId="4" xfId="3" applyFont="1" applyFill="1" applyBorder="1" applyAlignment="1" applyProtection="1">
      <alignment horizontal="left" vertical="top" wrapText="1"/>
      <protection locked="0"/>
    </xf>
    <xf numFmtId="0" fontId="7" fillId="3" borderId="3" xfId="3" applyNumberFormat="1" applyFont="1" applyFill="1" applyBorder="1" applyAlignment="1" applyProtection="1">
      <alignment horizontal="left" vertical="top" wrapText="1"/>
    </xf>
    <xf numFmtId="164" fontId="7" fillId="3" borderId="3" xfId="3" applyNumberFormat="1" applyFont="1" applyFill="1" applyBorder="1" applyAlignment="1" applyProtection="1">
      <alignment horizontal="left" vertical="top" wrapText="1"/>
      <protection locked="0"/>
    </xf>
    <xf numFmtId="0" fontId="6" fillId="0" borderId="0" xfId="0" applyFont="1" applyAlignment="1" applyProtection="1">
      <alignment horizontal="left" vertical="center"/>
      <protection locked="0"/>
    </xf>
    <xf numFmtId="0" fontId="17" fillId="0" borderId="3" xfId="0" applyFont="1" applyBorder="1" applyAlignment="1" applyProtection="1">
      <alignment horizontal="left" vertical="top"/>
      <protection locked="0"/>
    </xf>
    <xf numFmtId="0" fontId="13" fillId="0" borderId="0" xfId="0" applyFont="1" applyAlignment="1">
      <alignment horizontal="left" vertical="center"/>
    </xf>
    <xf numFmtId="0" fontId="7" fillId="0" borderId="0" xfId="0" applyFont="1" applyAlignment="1" applyProtection="1">
      <alignment horizontal="left" vertical="center"/>
      <protection locked="0"/>
    </xf>
    <xf numFmtId="0" fontId="21" fillId="5" borderId="1" xfId="0" applyFont="1" applyFill="1" applyBorder="1" applyAlignment="1" applyProtection="1">
      <alignment horizontal="left" vertical="top" wrapText="1"/>
      <protection locked="0"/>
    </xf>
    <xf numFmtId="0" fontId="7" fillId="0" borderId="0" xfId="0" applyFont="1" applyAlignment="1">
      <alignment horizontal="left" vertical="top"/>
    </xf>
    <xf numFmtId="0" fontId="3" fillId="0" borderId="4" xfId="0" applyFont="1" applyBorder="1" applyAlignment="1" applyProtection="1">
      <alignment vertical="top"/>
      <protection locked="0"/>
    </xf>
    <xf numFmtId="0" fontId="3" fillId="0" borderId="2" xfId="0" applyFont="1" applyBorder="1" applyAlignment="1">
      <alignment horizontal="left" vertical="top" wrapText="1"/>
    </xf>
    <xf numFmtId="0" fontId="10" fillId="0" borderId="2" xfId="0" applyFont="1" applyBorder="1" applyAlignment="1">
      <alignment vertical="top" wrapText="1"/>
    </xf>
    <xf numFmtId="165" fontId="4" fillId="0" borderId="1" xfId="3" applyFont="1" applyBorder="1" applyAlignment="1">
      <alignment vertical="top" wrapText="1"/>
    </xf>
    <xf numFmtId="165" fontId="4" fillId="6" borderId="1" xfId="3" applyFont="1" applyFill="1" applyBorder="1" applyAlignment="1">
      <alignment horizontal="center" vertical="top" wrapText="1"/>
    </xf>
    <xf numFmtId="0" fontId="4" fillId="6" borderId="1" xfId="3" applyNumberFormat="1" applyFont="1" applyFill="1" applyBorder="1" applyAlignment="1">
      <alignment horizontal="center" vertical="top" wrapText="1"/>
    </xf>
    <xf numFmtId="0" fontId="3" fillId="0" borderId="0" xfId="0" applyFont="1" applyAlignment="1" applyProtection="1">
      <alignment vertical="top" wrapText="1"/>
      <protection locked="0"/>
    </xf>
    <xf numFmtId="0" fontId="3" fillId="0" borderId="1" xfId="0" applyFont="1" applyBorder="1" applyAlignment="1" applyProtection="1">
      <alignment vertical="top" wrapText="1"/>
      <protection locked="0"/>
    </xf>
    <xf numFmtId="0" fontId="23" fillId="0" borderId="1" xfId="0" applyFont="1" applyBorder="1" applyAlignment="1">
      <alignment horizontal="center" vertical="center" wrapText="1"/>
    </xf>
    <xf numFmtId="0" fontId="23" fillId="0" borderId="1" xfId="0" applyFont="1" applyBorder="1" applyAlignment="1">
      <alignment vertical="center"/>
    </xf>
    <xf numFmtId="0" fontId="22" fillId="0" borderId="0" xfId="0" applyFont="1" applyProtection="1">
      <protection locked="0"/>
    </xf>
    <xf numFmtId="0" fontId="2" fillId="0" borderId="0" xfId="0" applyFont="1" applyAlignment="1">
      <alignment vertical="top" wrapText="1"/>
    </xf>
    <xf numFmtId="4" fontId="2" fillId="0" borderId="0" xfId="0" applyNumberFormat="1" applyFont="1" applyAlignment="1">
      <alignment vertical="top" wrapText="1"/>
    </xf>
    <xf numFmtId="0" fontId="6" fillId="0" borderId="0" xfId="0" applyFont="1" applyAlignment="1">
      <alignment vertical="top" wrapText="1"/>
    </xf>
    <xf numFmtId="0" fontId="24" fillId="0" borderId="0" xfId="0" applyFont="1" applyProtection="1">
      <protection locked="0"/>
    </xf>
    <xf numFmtId="0" fontId="24" fillId="0" borderId="0" xfId="0" applyFont="1" applyAlignment="1" applyProtection="1">
      <alignment wrapText="1"/>
      <protection locked="0"/>
    </xf>
    <xf numFmtId="0" fontId="25" fillId="0" borderId="0" xfId="0" applyFont="1" applyProtection="1">
      <protection locked="0"/>
    </xf>
    <xf numFmtId="0" fontId="24" fillId="0" borderId="0" xfId="0" applyFont="1" applyAlignment="1">
      <alignment wrapText="1"/>
    </xf>
    <xf numFmtId="0" fontId="27" fillId="0" borderId="0" xfId="0" applyFont="1" applyAlignment="1" applyProtection="1">
      <alignment vertical="top" wrapText="1"/>
      <protection locked="0"/>
    </xf>
    <xf numFmtId="164" fontId="4" fillId="0" borderId="1" xfId="3" applyNumberFormat="1" applyFont="1" applyBorder="1" applyAlignment="1">
      <alignment vertical="center" wrapText="1"/>
    </xf>
    <xf numFmtId="4" fontId="4" fillId="0" borderId="1" xfId="0" applyNumberFormat="1" applyFont="1" applyBorder="1" applyAlignment="1">
      <alignment vertical="center"/>
    </xf>
    <xf numFmtId="4" fontId="12" fillId="0" borderId="1" xfId="0" applyNumberFormat="1" applyFont="1" applyBorder="1" applyAlignment="1">
      <alignment vertical="center"/>
    </xf>
    <xf numFmtId="0" fontId="2" fillId="0" borderId="0" xfId="0" applyFont="1"/>
    <xf numFmtId="0" fontId="3" fillId="0" borderId="1" xfId="0" applyFont="1" applyBorder="1"/>
    <xf numFmtId="165" fontId="2" fillId="0" borderId="1" xfId="3" applyFont="1" applyBorder="1" applyAlignment="1">
      <alignment vertical="top"/>
    </xf>
    <xf numFmtId="165" fontId="2" fillId="0" borderId="1" xfId="0" applyNumberFormat="1" applyFont="1" applyBorder="1" applyAlignment="1">
      <alignment vertical="top"/>
    </xf>
    <xf numFmtId="0" fontId="14" fillId="0" borderId="3" xfId="3" applyNumberFormat="1" applyFont="1" applyFill="1" applyBorder="1" applyAlignment="1" applyProtection="1">
      <alignment horizontal="left" vertical="top" wrapText="1"/>
    </xf>
    <xf numFmtId="165" fontId="6" fillId="0" borderId="0" xfId="3" applyFont="1" applyFill="1" applyAlignment="1" applyProtection="1">
      <alignment horizontal="left" vertical="top" wrapText="1"/>
      <protection locked="0"/>
    </xf>
    <xf numFmtId="0" fontId="25" fillId="0" borderId="0" xfId="0" applyFont="1" applyAlignment="1" applyProtection="1">
      <alignment horizontal="left"/>
      <protection locked="0"/>
    </xf>
    <xf numFmtId="0" fontId="20" fillId="0" borderId="1" xfId="0" applyFont="1" applyBorder="1" applyAlignment="1">
      <alignment horizontal="left" vertical="top" wrapText="1"/>
    </xf>
    <xf numFmtId="0" fontId="21" fillId="0" borderId="1" xfId="0" applyFont="1" applyBorder="1" applyAlignment="1">
      <alignment horizontal="left" vertical="top" wrapText="1"/>
    </xf>
    <xf numFmtId="0" fontId="20" fillId="0" borderId="1" xfId="0" applyFont="1" applyBorder="1" applyAlignment="1">
      <alignment horizontal="center" vertical="top" wrapText="1"/>
    </xf>
    <xf numFmtId="0" fontId="20" fillId="0" borderId="1" xfId="0" applyFont="1" applyBorder="1" applyAlignment="1">
      <alignment vertical="top" wrapText="1"/>
    </xf>
    <xf numFmtId="0" fontId="22" fillId="0" borderId="0" xfId="0" applyFont="1"/>
    <xf numFmtId="0" fontId="28" fillId="0" borderId="0" xfId="0" applyFont="1" applyAlignment="1" applyProtection="1">
      <alignment horizontal="left" vertical="top"/>
      <protection locked="0"/>
    </xf>
    <xf numFmtId="0" fontId="28" fillId="0" borderId="1" xfId="0" applyFont="1" applyBorder="1" applyAlignment="1">
      <alignment horizontal="left" vertical="top"/>
    </xf>
    <xf numFmtId="0" fontId="28" fillId="0" borderId="1" xfId="0" applyFont="1" applyBorder="1" applyAlignment="1" applyProtection="1">
      <alignment horizontal="left" vertical="top"/>
      <protection locked="0"/>
    </xf>
    <xf numFmtId="167" fontId="28" fillId="0" borderId="0" xfId="0" applyNumberFormat="1" applyFont="1" applyAlignment="1">
      <alignment horizontal="left" vertical="top"/>
    </xf>
    <xf numFmtId="0" fontId="17" fillId="0" borderId="0" xfId="0" applyFont="1" applyAlignment="1">
      <alignment horizontal="left" vertical="top"/>
    </xf>
    <xf numFmtId="9" fontId="28" fillId="0" borderId="0" xfId="2" applyFont="1" applyAlignment="1" applyProtection="1">
      <alignment horizontal="left" vertical="top"/>
      <protection locked="0"/>
    </xf>
    <xf numFmtId="0" fontId="0" fillId="0" borderId="1" xfId="0" applyBorder="1"/>
    <xf numFmtId="0" fontId="0" fillId="7" borderId="1" xfId="0" applyFill="1" applyBorder="1"/>
    <xf numFmtId="0" fontId="18" fillId="0" borderId="3" xfId="0" applyFont="1" applyBorder="1" applyAlignment="1" applyProtection="1">
      <alignment vertical="top" wrapText="1"/>
      <protection locked="0"/>
    </xf>
    <xf numFmtId="0" fontId="13" fillId="0" borderId="0" xfId="0" applyFont="1" applyAlignment="1">
      <alignment horizontal="left" vertical="center" wrapText="1"/>
    </xf>
    <xf numFmtId="0" fontId="7" fillId="0" borderId="0" xfId="0" applyFont="1" applyAlignment="1" applyProtection="1">
      <alignment horizontal="left" vertical="center" wrapText="1"/>
      <protection locked="0"/>
    </xf>
    <xf numFmtId="165" fontId="7" fillId="0" borderId="0" xfId="0" applyNumberFormat="1" applyFont="1" applyProtection="1">
      <protection locked="0"/>
    </xf>
    <xf numFmtId="165" fontId="7" fillId="3" borderId="0" xfId="3" applyFont="1" applyFill="1" applyBorder="1" applyAlignment="1" applyProtection="1">
      <alignment horizontal="left" vertical="top" wrapText="1"/>
      <protection locked="0"/>
    </xf>
    <xf numFmtId="168" fontId="7" fillId="0" borderId="0" xfId="0" applyNumberFormat="1" applyFont="1" applyProtection="1">
      <protection locked="0"/>
    </xf>
    <xf numFmtId="168" fontId="13" fillId="0" borderId="0" xfId="0" applyNumberFormat="1" applyFont="1"/>
    <xf numFmtId="168" fontId="25" fillId="0" borderId="0" xfId="0" applyNumberFormat="1" applyFont="1" applyAlignment="1" applyProtection="1">
      <alignment horizontal="left"/>
      <protection locked="0"/>
    </xf>
    <xf numFmtId="168" fontId="18" fillId="0" borderId="0" xfId="0" applyNumberFormat="1" applyFont="1" applyAlignment="1" applyProtection="1">
      <alignment horizontal="left" vertical="top"/>
      <protection locked="0"/>
    </xf>
    <xf numFmtId="168" fontId="7" fillId="0" borderId="0" xfId="0" applyNumberFormat="1" applyFont="1" applyAlignment="1" applyProtection="1">
      <alignment horizontal="left" vertical="top"/>
      <protection locked="0"/>
    </xf>
    <xf numFmtId="10" fontId="7" fillId="3" borderId="0" xfId="2" applyNumberFormat="1" applyFont="1" applyFill="1" applyBorder="1" applyAlignment="1" applyProtection="1">
      <alignment horizontal="left" vertical="top" wrapText="1"/>
      <protection locked="0"/>
    </xf>
    <xf numFmtId="0" fontId="0" fillId="7" borderId="0" xfId="0" applyFill="1"/>
    <xf numFmtId="165" fontId="25" fillId="0" borderId="0" xfId="3" applyFont="1" applyAlignment="1" applyProtection="1">
      <alignment horizontal="left" vertical="top"/>
      <protection locked="0"/>
    </xf>
    <xf numFmtId="0" fontId="3" fillId="7" borderId="1" xfId="0" applyFont="1" applyFill="1" applyBorder="1" applyAlignment="1" applyProtection="1">
      <alignment vertical="top" wrapText="1"/>
      <protection locked="0"/>
    </xf>
    <xf numFmtId="0" fontId="21" fillId="0" borderId="2" xfId="0" applyFont="1" applyBorder="1" applyAlignment="1" applyProtection="1">
      <alignment horizontal="left" vertical="top"/>
      <protection locked="0"/>
    </xf>
    <xf numFmtId="0" fontId="20" fillId="0" borderId="2" xfId="0" applyFont="1" applyBorder="1" applyAlignment="1" applyProtection="1">
      <alignment horizontal="left" vertical="top"/>
      <protection locked="0"/>
    </xf>
    <xf numFmtId="0" fontId="8" fillId="0" borderId="0" xfId="0" applyFont="1" applyAlignment="1">
      <alignment wrapText="1"/>
    </xf>
    <xf numFmtId="0" fontId="8" fillId="0" borderId="0" xfId="0" applyFont="1" applyAlignment="1" applyProtection="1">
      <alignment horizontal="left" vertical="center" wrapText="1"/>
      <protection locked="0"/>
    </xf>
    <xf numFmtId="0" fontId="32" fillId="0" borderId="0" xfId="0" applyFont="1" applyAlignment="1">
      <alignment vertical="top" wrapText="1"/>
    </xf>
    <xf numFmtId="0" fontId="35" fillId="0" borderId="0" xfId="0" applyFont="1" applyAlignment="1">
      <alignment wrapText="1"/>
    </xf>
    <xf numFmtId="0" fontId="36" fillId="0" borderId="0" xfId="0" applyFont="1" applyAlignment="1">
      <alignment wrapText="1"/>
    </xf>
    <xf numFmtId="0" fontId="39" fillId="0" borderId="0" xfId="0" applyFont="1" applyAlignment="1" applyProtection="1">
      <alignment vertical="top" wrapText="1"/>
      <protection locked="0"/>
    </xf>
    <xf numFmtId="0" fontId="39" fillId="0" borderId="0" xfId="0" applyFont="1" applyAlignment="1">
      <alignment vertical="top" wrapText="1"/>
    </xf>
    <xf numFmtId="167" fontId="40" fillId="0" borderId="0" xfId="1" applyNumberFormat="1" applyFont="1" applyBorder="1" applyAlignment="1" applyProtection="1">
      <alignment vertical="center" wrapText="1"/>
    </xf>
    <xf numFmtId="9" fontId="36" fillId="0" borderId="0" xfId="2" applyFont="1" applyBorder="1" applyProtection="1">
      <protection locked="0"/>
    </xf>
    <xf numFmtId="0" fontId="36" fillId="0" borderId="0" xfId="0" applyFont="1" applyProtection="1">
      <protection locked="0"/>
    </xf>
    <xf numFmtId="165" fontId="8" fillId="0" borderId="0" xfId="0" applyNumberFormat="1" applyFont="1" applyProtection="1">
      <protection locked="0"/>
    </xf>
    <xf numFmtId="165" fontId="3" fillId="0" borderId="0" xfId="3" applyFont="1" applyProtection="1">
      <protection locked="0"/>
    </xf>
    <xf numFmtId="169" fontId="3" fillId="0" borderId="0" xfId="0" applyNumberFormat="1" applyFont="1" applyProtection="1">
      <protection locked="0"/>
    </xf>
    <xf numFmtId="0" fontId="21" fillId="0" borderId="1" xfId="0" applyFont="1" applyBorder="1" applyAlignment="1">
      <alignment horizontal="center" vertical="center" wrapText="1"/>
    </xf>
    <xf numFmtId="0" fontId="32" fillId="0" borderId="0" xfId="0" applyFont="1" applyProtection="1">
      <protection locked="0"/>
    </xf>
    <xf numFmtId="0" fontId="32" fillId="0" borderId="0" xfId="0" applyFont="1" applyAlignment="1">
      <alignment vertical="top"/>
    </xf>
    <xf numFmtId="0" fontId="41" fillId="0" borderId="0" xfId="0" applyFont="1" applyProtection="1">
      <protection locked="0"/>
    </xf>
    <xf numFmtId="0" fontId="42" fillId="0" borderId="0" xfId="0" applyFont="1" applyAlignment="1">
      <alignment wrapText="1"/>
    </xf>
    <xf numFmtId="0" fontId="41" fillId="0" borderId="0" xfId="0" applyFont="1" applyAlignment="1">
      <alignment wrapText="1"/>
    </xf>
    <xf numFmtId="0" fontId="42" fillId="0" borderId="0" xfId="0" applyFont="1" applyAlignment="1" applyProtection="1">
      <alignment vertical="top" wrapText="1"/>
      <protection locked="0"/>
    </xf>
    <xf numFmtId="0" fontId="42" fillId="0" borderId="0" xfId="0" applyFont="1" applyAlignment="1">
      <alignment vertical="top" wrapText="1"/>
    </xf>
    <xf numFmtId="167" fontId="43" fillId="0" borderId="0" xfId="1" applyNumberFormat="1" applyFont="1" applyBorder="1" applyAlignment="1" applyProtection="1">
      <alignment vertical="center" wrapText="1"/>
    </xf>
    <xf numFmtId="9" fontId="41" fillId="0" borderId="0" xfId="2" applyFont="1" applyBorder="1" applyProtection="1">
      <protection locked="0"/>
    </xf>
    <xf numFmtId="0" fontId="41" fillId="0" borderId="0" xfId="0" applyFont="1" applyAlignment="1">
      <alignment horizontal="center" vertical="center" wrapText="1"/>
    </xf>
    <xf numFmtId="0" fontId="34" fillId="0" borderId="0" xfId="0" applyFont="1" applyAlignment="1">
      <alignment vertical="center"/>
    </xf>
    <xf numFmtId="0" fontId="44" fillId="0" borderId="0" xfId="0" applyFont="1" applyAlignment="1">
      <alignment wrapText="1"/>
    </xf>
    <xf numFmtId="0" fontId="33" fillId="0" borderId="0" xfId="0" applyFont="1" applyAlignment="1" applyProtection="1">
      <alignment vertical="top" wrapText="1"/>
      <protection locked="0"/>
    </xf>
    <xf numFmtId="0" fontId="33" fillId="0" borderId="0" xfId="0" applyFont="1" applyAlignment="1">
      <alignment vertical="top" wrapText="1"/>
    </xf>
    <xf numFmtId="167" fontId="44" fillId="0" borderId="0" xfId="1" applyNumberFormat="1" applyFont="1" applyBorder="1" applyAlignment="1" applyProtection="1">
      <alignment vertical="center" wrapText="1"/>
    </xf>
    <xf numFmtId="9" fontId="8" fillId="0" borderId="0" xfId="2" applyFont="1" applyBorder="1" applyProtection="1">
      <protection locked="0"/>
    </xf>
    <xf numFmtId="0" fontId="8" fillId="0" borderId="1" xfId="0" applyFont="1" applyBorder="1" applyAlignment="1">
      <alignment horizontal="left" vertical="center" wrapText="1"/>
    </xf>
    <xf numFmtId="4" fontId="8" fillId="0" borderId="1" xfId="0" applyNumberFormat="1" applyFont="1" applyBorder="1" applyAlignment="1">
      <alignment horizontal="center" vertical="center" wrapText="1"/>
    </xf>
    <xf numFmtId="4" fontId="8" fillId="0" borderId="0" xfId="0" applyNumberFormat="1" applyFont="1" applyAlignment="1">
      <alignment vertical="center" wrapText="1"/>
    </xf>
    <xf numFmtId="4" fontId="8" fillId="0" borderId="0" xfId="0" applyNumberFormat="1" applyFont="1" applyAlignment="1">
      <alignment vertical="center"/>
    </xf>
    <xf numFmtId="165" fontId="32" fillId="0" borderId="0" xfId="3" applyFont="1" applyBorder="1" applyAlignment="1">
      <alignment vertical="center" wrapText="1"/>
    </xf>
    <xf numFmtId="4" fontId="41" fillId="0" borderId="0" xfId="0" applyNumberFormat="1" applyFont="1" applyAlignment="1">
      <alignment vertical="center" wrapText="1"/>
    </xf>
    <xf numFmtId="4" fontId="44" fillId="0" borderId="0" xfId="0" applyNumberFormat="1" applyFont="1" applyAlignment="1">
      <alignment wrapText="1"/>
    </xf>
    <xf numFmtId="4" fontId="33" fillId="0" borderId="0" xfId="0" applyNumberFormat="1" applyFont="1" applyAlignment="1" applyProtection="1">
      <alignment vertical="top" wrapText="1"/>
      <protection locked="0"/>
    </xf>
    <xf numFmtId="0" fontId="8" fillId="0" borderId="4" xfId="0" applyFont="1" applyBorder="1" applyAlignment="1">
      <alignment horizontal="left" vertical="center" wrapText="1"/>
    </xf>
    <xf numFmtId="0" fontId="20" fillId="0" borderId="1" xfId="0" applyFont="1" applyBorder="1" applyAlignment="1">
      <alignment horizontal="center" vertical="center" wrapText="1"/>
    </xf>
    <xf numFmtId="0" fontId="8" fillId="0" borderId="3" xfId="0" applyFont="1" applyBorder="1" applyAlignment="1">
      <alignment horizontal="left" vertical="center" wrapText="1"/>
    </xf>
    <xf numFmtId="4" fontId="8" fillId="0" borderId="3" xfId="0" applyNumberFormat="1" applyFont="1" applyBorder="1" applyAlignment="1">
      <alignment horizontal="center" vertical="center" wrapText="1"/>
    </xf>
    <xf numFmtId="0" fontId="8" fillId="0" borderId="23" xfId="0" applyFont="1" applyBorder="1" applyAlignment="1">
      <alignment horizontal="left" vertical="center" wrapText="1"/>
    </xf>
    <xf numFmtId="4" fontId="8" fillId="0" borderId="23" xfId="0" applyNumberFormat="1" applyFont="1" applyBorder="1" applyAlignment="1">
      <alignment horizontal="center" vertical="center" wrapText="1"/>
    </xf>
    <xf numFmtId="0" fontId="8" fillId="0" borderId="21" xfId="0" applyFont="1" applyBorder="1" applyAlignment="1">
      <alignment horizontal="left" vertical="center" wrapText="1"/>
    </xf>
    <xf numFmtId="0" fontId="8" fillId="0" borderId="24" xfId="0" applyFont="1" applyBorder="1" applyAlignment="1">
      <alignment horizontal="left" vertical="center" wrapText="1"/>
    </xf>
    <xf numFmtId="0" fontId="3" fillId="0" borderId="0" xfId="0" applyFont="1" applyAlignment="1">
      <alignment horizontal="left"/>
    </xf>
    <xf numFmtId="0" fontId="38" fillId="0" borderId="0" xfId="0" applyFont="1"/>
    <xf numFmtId="0" fontId="37" fillId="0" borderId="0" xfId="0" applyFont="1" applyAlignment="1">
      <alignment wrapText="1"/>
    </xf>
    <xf numFmtId="0" fontId="4" fillId="0" borderId="1" xfId="0" applyFont="1" applyBorder="1" applyAlignment="1">
      <alignment horizontal="left" vertical="center" wrapText="1"/>
    </xf>
    <xf numFmtId="165" fontId="4" fillId="0" borderId="1" xfId="3" applyFont="1" applyFill="1" applyBorder="1" applyAlignment="1">
      <alignment vertical="center" wrapText="1"/>
    </xf>
    <xf numFmtId="165" fontId="12" fillId="0" borderId="1" xfId="3" applyFont="1" applyFill="1" applyBorder="1" applyAlignment="1">
      <alignment vertical="center" wrapText="1"/>
    </xf>
    <xf numFmtId="165" fontId="20" fillId="0" borderId="1" xfId="3" applyFont="1" applyFill="1" applyBorder="1" applyAlignment="1">
      <alignment vertical="center" wrapText="1"/>
    </xf>
    <xf numFmtId="164" fontId="4" fillId="0" borderId="1" xfId="3" applyNumberFormat="1" applyFont="1" applyFill="1" applyBorder="1" applyAlignment="1">
      <alignment vertical="center" wrapText="1"/>
    </xf>
    <xf numFmtId="0" fontId="1" fillId="0" borderId="0" xfId="4"/>
    <xf numFmtId="0" fontId="45" fillId="0" borderId="0" xfId="5"/>
    <xf numFmtId="165" fontId="45" fillId="8" borderId="0" xfId="6" applyFont="1" applyFill="1"/>
    <xf numFmtId="165" fontId="10" fillId="0" borderId="0" xfId="6" applyFont="1" applyBorder="1" applyAlignment="1">
      <alignment vertical="top"/>
    </xf>
    <xf numFmtId="170" fontId="1" fillId="0" borderId="0" xfId="4" applyNumberFormat="1"/>
    <xf numFmtId="10" fontId="45" fillId="0" borderId="0" xfId="7" applyNumberFormat="1" applyFont="1"/>
    <xf numFmtId="165" fontId="45" fillId="0" borderId="0" xfId="5" applyNumberFormat="1"/>
    <xf numFmtId="4" fontId="45" fillId="0" borderId="0" xfId="5" applyNumberFormat="1"/>
    <xf numFmtId="0" fontId="45" fillId="0" borderId="1" xfId="5" applyBorder="1"/>
    <xf numFmtId="171" fontId="45" fillId="0" borderId="1" xfId="5" applyNumberFormat="1" applyBorder="1"/>
    <xf numFmtId="0" fontId="1" fillId="0" borderId="1" xfId="4" applyBorder="1"/>
    <xf numFmtId="165" fontId="45" fillId="0" borderId="0" xfId="6" applyFont="1"/>
    <xf numFmtId="165" fontId="45" fillId="0" borderId="1" xfId="6" applyFont="1" applyBorder="1"/>
    <xf numFmtId="165" fontId="45" fillId="8" borderId="1" xfId="6" applyFont="1" applyFill="1" applyBorder="1"/>
    <xf numFmtId="0" fontId="45" fillId="8" borderId="1" xfId="5" applyFill="1" applyBorder="1"/>
    <xf numFmtId="9" fontId="45" fillId="0" borderId="1" xfId="7" applyFont="1" applyBorder="1"/>
    <xf numFmtId="165" fontId="1" fillId="0" borderId="0" xfId="4" applyNumberFormat="1"/>
    <xf numFmtId="165" fontId="45" fillId="0" borderId="1" xfId="5" applyNumberFormat="1" applyBorder="1"/>
    <xf numFmtId="165" fontId="1" fillId="0" borderId="0" xfId="4" applyNumberFormat="1" applyAlignment="1">
      <alignment horizontal="left" indent="2"/>
    </xf>
    <xf numFmtId="165" fontId="1" fillId="0" borderId="0" xfId="8" applyFont="1"/>
    <xf numFmtId="165" fontId="0" fillId="0" borderId="0" xfId="6" applyFont="1"/>
    <xf numFmtId="14" fontId="1" fillId="0" borderId="0" xfId="4" applyNumberFormat="1"/>
    <xf numFmtId="165" fontId="0" fillId="0" borderId="0" xfId="3" applyFont="1" applyFill="1"/>
    <xf numFmtId="0" fontId="0" fillId="9" borderId="0" xfId="0" applyFill="1"/>
    <xf numFmtId="0" fontId="7" fillId="0" borderId="4" xfId="0" applyFont="1" applyBorder="1" applyAlignment="1" applyProtection="1">
      <alignment horizontal="left" vertical="top" wrapText="1"/>
      <protection locked="0"/>
    </xf>
    <xf numFmtId="0" fontId="13" fillId="2" borderId="17" xfId="3" applyNumberFormat="1" applyFont="1" applyFill="1" applyBorder="1" applyAlignment="1" applyProtection="1">
      <alignment horizontal="left" vertical="top" wrapText="1"/>
      <protection locked="0"/>
    </xf>
    <xf numFmtId="0" fontId="14" fillId="2" borderId="17" xfId="3" applyNumberFormat="1" applyFont="1" applyFill="1" applyBorder="1" applyAlignment="1" applyProtection="1">
      <alignment horizontal="left" vertical="top" wrapText="1"/>
      <protection locked="0"/>
    </xf>
    <xf numFmtId="0" fontId="7" fillId="2" borderId="16" xfId="0" applyFont="1" applyFill="1" applyBorder="1" applyAlignment="1" applyProtection="1">
      <alignment horizontal="left" vertical="top"/>
      <protection locked="0"/>
    </xf>
    <xf numFmtId="0" fontId="14" fillId="2" borderId="16" xfId="0" applyFont="1" applyFill="1" applyBorder="1" applyAlignment="1" applyProtection="1">
      <alignment horizontal="left" vertical="top" wrapText="1"/>
      <protection locked="0"/>
    </xf>
    <xf numFmtId="0" fontId="14" fillId="2" borderId="17" xfId="0" applyFont="1" applyFill="1" applyBorder="1" applyAlignment="1" applyProtection="1">
      <alignment horizontal="left" vertical="top"/>
      <protection locked="0"/>
    </xf>
    <xf numFmtId="0" fontId="7" fillId="2" borderId="17" xfId="0" applyFont="1" applyFill="1" applyBorder="1" applyAlignment="1" applyProtection="1">
      <alignment horizontal="left" vertical="top"/>
      <protection locked="0"/>
    </xf>
    <xf numFmtId="165" fontId="7" fillId="0" borderId="0" xfId="3" applyFont="1" applyFill="1" applyBorder="1" applyAlignment="1">
      <alignment horizontal="left" vertical="top" wrapText="1"/>
    </xf>
    <xf numFmtId="0" fontId="47" fillId="0" borderId="1" xfId="0" applyFont="1" applyBorder="1"/>
    <xf numFmtId="0" fontId="48" fillId="0" borderId="1" xfId="0" applyFont="1" applyBorder="1"/>
    <xf numFmtId="0" fontId="50" fillId="0" borderId="1" xfId="0" applyFont="1" applyBorder="1"/>
    <xf numFmtId="165" fontId="5" fillId="0" borderId="0" xfId="3" applyFont="1" applyAlignment="1" applyProtection="1">
      <alignment vertical="top" wrapText="1"/>
      <protection locked="0"/>
    </xf>
    <xf numFmtId="165" fontId="36" fillId="0" borderId="0" xfId="3" applyFont="1" applyAlignment="1">
      <alignment wrapText="1"/>
    </xf>
    <xf numFmtId="165" fontId="28" fillId="0" borderId="0" xfId="3" applyFont="1" applyAlignment="1" applyProtection="1">
      <alignment horizontal="left" vertical="top"/>
      <protection locked="0"/>
    </xf>
    <xf numFmtId="165" fontId="8" fillId="0" borderId="0" xfId="3" applyFont="1" applyAlignment="1" applyProtection="1">
      <alignment vertical="top"/>
      <protection locked="0"/>
    </xf>
    <xf numFmtId="165" fontId="3" fillId="0" borderId="0" xfId="3" applyFont="1" applyAlignment="1" applyProtection="1">
      <alignment vertical="top"/>
      <protection locked="0"/>
    </xf>
    <xf numFmtId="0" fontId="25" fillId="0" borderId="0" xfId="0" applyFont="1" applyAlignment="1" applyProtection="1">
      <alignment horizontal="left" vertical="top"/>
      <protection locked="0"/>
    </xf>
    <xf numFmtId="0" fontId="14" fillId="0" borderId="0" xfId="0" applyFont="1" applyAlignment="1" applyProtection="1">
      <alignment horizontal="left" vertical="top"/>
      <protection locked="0"/>
    </xf>
    <xf numFmtId="0" fontId="14" fillId="0" borderId="0" xfId="0" applyFont="1" applyAlignment="1">
      <alignment horizontal="left" vertical="top"/>
    </xf>
    <xf numFmtId="0" fontId="6" fillId="0" borderId="0" xfId="0" applyFont="1" applyAlignment="1">
      <alignment horizontal="left" vertical="top"/>
    </xf>
    <xf numFmtId="165" fontId="7" fillId="0" borderId="0" xfId="3" applyFont="1" applyFill="1" applyAlignment="1" applyProtection="1">
      <alignment horizontal="left" vertical="top"/>
      <protection locked="0"/>
    </xf>
    <xf numFmtId="165" fontId="7" fillId="0" borderId="0" xfId="3" applyFont="1" applyAlignment="1" applyProtection="1">
      <alignment horizontal="left" vertical="top"/>
      <protection locked="0"/>
    </xf>
    <xf numFmtId="165" fontId="6" fillId="0" borderId="0" xfId="3" applyFont="1" applyFill="1" applyAlignment="1" applyProtection="1">
      <alignment horizontal="left" vertical="top"/>
      <protection locked="0"/>
    </xf>
    <xf numFmtId="0" fontId="13" fillId="0" borderId="0" xfId="0" applyFont="1" applyAlignment="1">
      <alignment horizontal="left" vertical="top" wrapText="1"/>
    </xf>
    <xf numFmtId="165" fontId="13" fillId="0" borderId="0" xfId="0" applyNumberFormat="1" applyFont="1" applyAlignment="1">
      <alignment horizontal="left" vertical="top" wrapText="1"/>
    </xf>
    <xf numFmtId="0" fontId="14" fillId="0" borderId="0" xfId="0" applyFont="1" applyAlignment="1">
      <alignment horizontal="left" vertical="top" wrapText="1"/>
    </xf>
    <xf numFmtId="165" fontId="13" fillId="0" borderId="0" xfId="3" applyFont="1" applyFill="1" applyAlignment="1">
      <alignment horizontal="left" vertical="top"/>
    </xf>
    <xf numFmtId="165" fontId="13" fillId="0" borderId="0" xfId="3" applyFont="1" applyAlignment="1">
      <alignment horizontal="left" vertical="top"/>
    </xf>
    <xf numFmtId="165" fontId="14" fillId="0" borderId="0" xfId="3" applyFont="1" applyFill="1" applyAlignment="1">
      <alignment horizontal="left" vertical="top"/>
    </xf>
    <xf numFmtId="0" fontId="6" fillId="0" borderId="0" xfId="0" applyFont="1" applyAlignment="1" applyProtection="1">
      <alignment horizontal="left" vertical="top" wrapText="1"/>
      <protection locked="0"/>
    </xf>
    <xf numFmtId="0" fontId="14" fillId="0" borderId="0" xfId="0" applyFont="1" applyAlignment="1" applyProtection="1">
      <alignment horizontal="left" vertical="top" wrapText="1"/>
      <protection locked="0"/>
    </xf>
    <xf numFmtId="0" fontId="6" fillId="0" borderId="0" xfId="0" applyFont="1" applyAlignment="1">
      <alignment horizontal="left" vertical="top" wrapText="1"/>
    </xf>
    <xf numFmtId="0" fontId="7" fillId="3" borderId="0" xfId="0" applyFont="1" applyFill="1" applyAlignment="1" applyProtection="1">
      <alignment horizontal="left" vertical="top"/>
      <protection locked="0"/>
    </xf>
    <xf numFmtId="165" fontId="7" fillId="3" borderId="0" xfId="3" applyFont="1" applyFill="1" applyAlignment="1" applyProtection="1">
      <alignment horizontal="left" vertical="top"/>
      <protection locked="0"/>
    </xf>
    <xf numFmtId="0" fontId="18" fillId="0" borderId="9" xfId="0" applyFont="1" applyBorder="1" applyAlignment="1">
      <alignment horizontal="left" vertical="top" wrapText="1"/>
    </xf>
    <xf numFmtId="0" fontId="14" fillId="0" borderId="9" xfId="0" applyFont="1" applyBorder="1" applyAlignment="1" applyProtection="1">
      <alignment horizontal="left" vertical="top" wrapText="1"/>
      <protection locked="0"/>
    </xf>
    <xf numFmtId="0" fontId="18" fillId="3" borderId="9" xfId="0" applyFont="1" applyFill="1" applyBorder="1" applyAlignment="1" applyProtection="1">
      <alignment horizontal="left" vertical="top" wrapText="1"/>
      <protection locked="0"/>
    </xf>
    <xf numFmtId="165" fontId="18" fillId="3" borderId="9" xfId="3" applyFont="1" applyFill="1" applyBorder="1" applyAlignment="1" applyProtection="1">
      <alignment horizontal="left" vertical="top" wrapText="1"/>
      <protection locked="0"/>
    </xf>
    <xf numFmtId="9" fontId="18" fillId="3" borderId="3" xfId="2" applyFont="1" applyFill="1" applyBorder="1" applyAlignment="1" applyProtection="1">
      <alignment horizontal="left" vertical="top" wrapText="1"/>
      <protection locked="0"/>
    </xf>
    <xf numFmtId="165" fontId="18" fillId="3" borderId="15" xfId="3" applyFont="1" applyFill="1" applyBorder="1" applyAlignment="1" applyProtection="1">
      <alignment horizontal="left" vertical="top" wrapText="1"/>
      <protection locked="0"/>
    </xf>
    <xf numFmtId="165" fontId="17" fillId="0" borderId="15" xfId="3" applyFont="1" applyFill="1" applyBorder="1" applyAlignment="1" applyProtection="1">
      <alignment horizontal="left" vertical="top"/>
      <protection locked="0"/>
    </xf>
    <xf numFmtId="0" fontId="14" fillId="0" borderId="17" xfId="0" applyFont="1" applyBorder="1" applyAlignment="1" applyProtection="1">
      <alignment horizontal="left" vertical="top"/>
      <protection locked="0"/>
    </xf>
    <xf numFmtId="165" fontId="6" fillId="2" borderId="0" xfId="3" applyFont="1" applyFill="1" applyAlignment="1" applyProtection="1">
      <alignment horizontal="left" vertical="top"/>
      <protection locked="0"/>
    </xf>
    <xf numFmtId="0" fontId="14" fillId="0" borderId="17" xfId="0" applyFont="1" applyBorder="1" applyAlignment="1" applyProtection="1">
      <alignment horizontal="left" vertical="top" wrapText="1"/>
      <protection locked="0"/>
    </xf>
    <xf numFmtId="165" fontId="14" fillId="2" borderId="0" xfId="3" applyFont="1" applyFill="1" applyAlignment="1" applyProtection="1">
      <alignment horizontal="left" vertical="top" wrapText="1"/>
      <protection locked="0"/>
    </xf>
    <xf numFmtId="0" fontId="13" fillId="0" borderId="0" xfId="0" applyFont="1" applyAlignment="1" applyProtection="1">
      <alignment horizontal="left" vertical="top"/>
      <protection locked="0"/>
    </xf>
    <xf numFmtId="165" fontId="45" fillId="0" borderId="1" xfId="3" applyFont="1" applyBorder="1"/>
    <xf numFmtId="0" fontId="51" fillId="0" borderId="1" xfId="5" applyFont="1" applyBorder="1"/>
    <xf numFmtId="165" fontId="51" fillId="0" borderId="1" xfId="3" applyFont="1" applyBorder="1"/>
    <xf numFmtId="0" fontId="24" fillId="0" borderId="0" xfId="0" applyFont="1" applyAlignment="1" applyProtection="1">
      <alignment horizontal="left" vertical="top" wrapText="1"/>
      <protection locked="0"/>
    </xf>
    <xf numFmtId="0" fontId="24" fillId="0" borderId="0" xfId="0" applyFont="1" applyAlignment="1" applyProtection="1">
      <alignment horizontal="left" vertical="top"/>
      <protection locked="0"/>
    </xf>
    <xf numFmtId="165" fontId="25" fillId="0" borderId="0" xfId="3" applyFont="1" applyFill="1" applyAlignment="1" applyProtection="1">
      <alignment horizontal="left" vertical="top"/>
      <protection locked="0"/>
    </xf>
    <xf numFmtId="0" fontId="26" fillId="0" borderId="0" xfId="0" applyFont="1" applyAlignment="1" applyProtection="1">
      <alignment horizontal="left" vertical="top" wrapText="1"/>
      <protection locked="0"/>
    </xf>
    <xf numFmtId="0" fontId="26" fillId="0" borderId="0" xfId="0" applyFont="1" applyAlignment="1" applyProtection="1">
      <alignment horizontal="left" vertical="top"/>
      <protection locked="0"/>
    </xf>
    <xf numFmtId="0" fontId="17" fillId="0" borderId="1" xfId="0" applyFont="1" applyBorder="1" applyAlignment="1" applyProtection="1">
      <alignment horizontal="left" vertical="top" wrapText="1"/>
      <protection locked="0"/>
    </xf>
    <xf numFmtId="165" fontId="17" fillId="0" borderId="1" xfId="3" applyFont="1" applyFill="1" applyBorder="1" applyAlignment="1" applyProtection="1">
      <alignment horizontal="left" vertical="top" wrapText="1"/>
      <protection locked="0"/>
    </xf>
    <xf numFmtId="0" fontId="13" fillId="0" borderId="0" xfId="0" applyFont="1" applyAlignment="1" applyProtection="1">
      <alignment horizontal="left" vertical="top" wrapText="1"/>
      <protection locked="0"/>
    </xf>
    <xf numFmtId="167" fontId="52" fillId="0" borderId="0" xfId="1" applyNumberFormat="1" applyFont="1" applyFill="1" applyBorder="1" applyAlignment="1" applyProtection="1">
      <alignment horizontal="left" vertical="top" wrapText="1"/>
    </xf>
    <xf numFmtId="9" fontId="7" fillId="0" borderId="0" xfId="2" applyFont="1" applyFill="1" applyBorder="1" applyAlignment="1" applyProtection="1">
      <alignment horizontal="left" vertical="top"/>
      <protection locked="0"/>
    </xf>
    <xf numFmtId="0" fontId="18" fillId="0" borderId="1" xfId="0" applyFont="1" applyBorder="1" applyAlignment="1" applyProtection="1">
      <alignment horizontal="left" vertical="top"/>
      <protection locked="0"/>
    </xf>
    <xf numFmtId="0" fontId="18" fillId="0" borderId="1" xfId="0" applyFont="1" applyBorder="1" applyAlignment="1" applyProtection="1">
      <alignment horizontal="left" vertical="top" wrapText="1"/>
      <protection locked="0"/>
    </xf>
    <xf numFmtId="0" fontId="18" fillId="0" borderId="0" xfId="0" applyFont="1" applyAlignment="1" applyProtection="1">
      <alignment horizontal="left" vertical="top" wrapText="1"/>
      <protection locked="0"/>
    </xf>
    <xf numFmtId="0" fontId="18" fillId="0" borderId="0" xfId="0" applyFont="1" applyAlignment="1" applyProtection="1">
      <alignment horizontal="left" vertical="top"/>
      <protection locked="0"/>
    </xf>
    <xf numFmtId="0" fontId="18" fillId="0" borderId="0" xfId="0" applyFont="1" applyAlignment="1">
      <alignment horizontal="left" vertical="top" wrapText="1"/>
    </xf>
    <xf numFmtId="167" fontId="29" fillId="0" borderId="0" xfId="1" applyNumberFormat="1" applyFont="1" applyFill="1" applyBorder="1" applyAlignment="1" applyProtection="1">
      <alignment horizontal="left" vertical="top" wrapText="1"/>
    </xf>
    <xf numFmtId="9" fontId="18" fillId="0" borderId="0" xfId="2" applyFont="1" applyFill="1" applyBorder="1" applyAlignment="1" applyProtection="1">
      <alignment horizontal="left" vertical="top"/>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protection locked="0"/>
    </xf>
    <xf numFmtId="0" fontId="13" fillId="0" borderId="2" xfId="0" applyFont="1" applyBorder="1" applyAlignment="1" applyProtection="1">
      <alignment horizontal="left" vertical="top"/>
      <protection locked="0"/>
    </xf>
    <xf numFmtId="0" fontId="14" fillId="0" borderId="1" xfId="0" applyFont="1" applyBorder="1" applyAlignment="1" applyProtection="1">
      <alignment horizontal="left" vertical="top"/>
      <protection locked="0"/>
    </xf>
    <xf numFmtId="9" fontId="7" fillId="0" borderId="0" xfId="2" applyFont="1" applyFill="1" applyAlignment="1" applyProtection="1">
      <alignment horizontal="left" vertical="top"/>
      <protection locked="0"/>
    </xf>
    <xf numFmtId="9" fontId="7" fillId="0" borderId="0" xfId="2" applyFont="1" applyFill="1" applyAlignment="1" applyProtection="1">
      <alignment horizontal="left" vertical="top" wrapText="1"/>
      <protection locked="0"/>
    </xf>
    <xf numFmtId="0" fontId="36" fillId="0" borderId="0" xfId="0" applyFont="1"/>
    <xf numFmtId="0" fontId="28" fillId="0" borderId="0" xfId="0" applyFont="1"/>
    <xf numFmtId="0" fontId="19" fillId="0" borderId="0" xfId="0" applyFont="1"/>
    <xf numFmtId="0" fontId="38" fillId="0" borderId="0" xfId="0" applyFont="1" applyAlignment="1">
      <alignment wrapText="1"/>
    </xf>
    <xf numFmtId="0" fontId="28" fillId="0" borderId="0" xfId="0" applyFont="1" applyAlignment="1">
      <alignment vertical="top" wrapText="1"/>
    </xf>
    <xf numFmtId="0" fontId="19" fillId="0" borderId="0" xfId="0" applyFont="1" applyProtection="1">
      <protection locked="0"/>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4" fontId="8" fillId="0" borderId="3"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0" fontId="32" fillId="0" borderId="2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32" fillId="7"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4" fontId="8" fillId="0" borderId="23" xfId="0" applyNumberFormat="1" applyFont="1" applyBorder="1" applyAlignment="1">
      <alignment horizontal="center" vertical="center" wrapText="1"/>
    </xf>
    <xf numFmtId="0" fontId="8" fillId="0" borderId="3" xfId="0" applyFont="1" applyBorder="1" applyAlignment="1">
      <alignment horizontal="left" vertical="center" wrapText="1"/>
    </xf>
    <xf numFmtId="0" fontId="8" fillId="7" borderId="1" xfId="0"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23" xfId="0" applyFont="1" applyBorder="1" applyAlignment="1">
      <alignment horizontal="left" vertical="center" wrapText="1"/>
    </xf>
    <xf numFmtId="0" fontId="32" fillId="0" borderId="0" xfId="0" applyFont="1" applyAlignment="1">
      <alignment horizontal="left" vertical="top" wrapText="1"/>
    </xf>
    <xf numFmtId="0" fontId="32" fillId="0" borderId="0" xfId="0" applyFont="1" applyAlignment="1">
      <alignment horizontal="center" vertical="top" wrapText="1"/>
    </xf>
    <xf numFmtId="0" fontId="8" fillId="0" borderId="2" xfId="0" applyFont="1" applyBorder="1" applyAlignment="1">
      <alignment horizontal="center" vertical="center" wrapText="1"/>
    </xf>
    <xf numFmtId="0" fontId="7" fillId="0" borderId="12"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6" fillId="0" borderId="0" xfId="0" applyFont="1" applyAlignment="1">
      <alignment horizontal="center" vertical="top" wrapText="1"/>
    </xf>
    <xf numFmtId="0" fontId="17" fillId="2" borderId="12" xfId="0" applyFont="1" applyFill="1" applyBorder="1" applyAlignment="1" applyProtection="1">
      <alignment horizontal="center" vertical="top"/>
      <protection locked="0"/>
    </xf>
    <xf numFmtId="0" fontId="17" fillId="2" borderId="13" xfId="0" applyFont="1" applyFill="1" applyBorder="1" applyAlignment="1" applyProtection="1">
      <alignment horizontal="center" vertical="top"/>
      <protection locked="0"/>
    </xf>
    <xf numFmtId="0" fontId="17" fillId="2" borderId="11" xfId="0" applyFont="1" applyFill="1" applyBorder="1" applyAlignment="1" applyProtection="1">
      <alignment horizontal="center" vertical="top"/>
      <protection locked="0"/>
    </xf>
    <xf numFmtId="0" fontId="17" fillId="0" borderId="10" xfId="0" applyFont="1" applyBorder="1" applyAlignment="1" applyProtection="1">
      <alignment horizontal="center" vertical="top"/>
      <protection locked="0"/>
    </xf>
    <xf numFmtId="0" fontId="17" fillId="0" borderId="13" xfId="0" applyFont="1" applyBorder="1" applyAlignment="1" applyProtection="1">
      <alignment horizontal="center" vertical="top"/>
      <protection locked="0"/>
    </xf>
    <xf numFmtId="0" fontId="17" fillId="0" borderId="11" xfId="0" applyFont="1" applyBorder="1" applyAlignment="1" applyProtection="1">
      <alignment horizontal="center" vertical="top"/>
      <protection locked="0"/>
    </xf>
    <xf numFmtId="0" fontId="17" fillId="2" borderId="10" xfId="0" applyFont="1" applyFill="1" applyBorder="1" applyAlignment="1" applyProtection="1">
      <alignment horizontal="center" vertical="top"/>
      <protection locked="0"/>
    </xf>
    <xf numFmtId="0" fontId="17" fillId="2" borderId="14" xfId="0" applyFont="1" applyFill="1" applyBorder="1" applyAlignment="1" applyProtection="1">
      <alignment horizontal="center" vertical="top"/>
      <protection locked="0"/>
    </xf>
    <xf numFmtId="0" fontId="4" fillId="0" borderId="4" xfId="0" applyFont="1" applyBorder="1" applyAlignment="1">
      <alignment horizontal="center" vertical="top" wrapText="1"/>
    </xf>
    <xf numFmtId="0" fontId="4" fillId="0" borderId="6" xfId="0" applyFont="1" applyBorder="1" applyAlignment="1">
      <alignment horizontal="center" vertical="top" wrapText="1"/>
    </xf>
    <xf numFmtId="0" fontId="2" fillId="0" borderId="0" xfId="0" applyFont="1" applyAlignment="1">
      <alignment horizontal="center" vertical="center" wrapText="1"/>
    </xf>
    <xf numFmtId="0" fontId="2" fillId="0" borderId="0" xfId="0" applyFont="1" applyAlignment="1">
      <alignment horizontal="center" vertical="top" wrapText="1"/>
    </xf>
    <xf numFmtId="0" fontId="49" fillId="0" borderId="0" xfId="0" applyFont="1" applyAlignment="1">
      <alignment horizontal="center" vertical="center" wrapText="1"/>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xf numFmtId="0" fontId="2" fillId="0" borderId="6" xfId="0" applyFont="1" applyBorder="1" applyAlignment="1">
      <alignment horizontal="right" vertical="center" wrapText="1"/>
    </xf>
    <xf numFmtId="0" fontId="3" fillId="0" borderId="0" xfId="0" applyFont="1" applyAlignment="1" applyProtection="1">
      <protection locked="0"/>
    </xf>
  </cellXfs>
  <cellStyles count="9">
    <cellStyle name="Денежный" xfId="1" builtinId="4"/>
    <cellStyle name="Обычный" xfId="0" builtinId="0"/>
    <cellStyle name="Обычный 2" xfId="4" xr:uid="{770D6948-76DF-40C5-AE10-41BDEF0F9845}"/>
    <cellStyle name="Обычный 2 2" xfId="5" xr:uid="{583C4177-51BB-4759-8999-ACCA20A8F565}"/>
    <cellStyle name="Процентный" xfId="2" builtinId="5"/>
    <cellStyle name="Процентный 2" xfId="7" xr:uid="{CF0B655B-7AE1-4434-A5D4-81C6AF4EBC3A}"/>
    <cellStyle name="Финансовый" xfId="3" builtinId="3"/>
    <cellStyle name="Финансовый 2" xfId="6" xr:uid="{200C53D1-913D-47CB-8D78-CE0C661D123F}"/>
    <cellStyle name="Финансовый 3" xfId="8" xr:uid="{371EFE65-8452-4E00-9AF5-5191CC8B19F0}"/>
  </cellStyles>
  <dxfs count="8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0"/>
        <color auto="1"/>
        <name val="Times New Roman"/>
        <family val="1"/>
        <charset val="204"/>
        <scheme val="none"/>
      </font>
      <numFmt numFmtId="165" formatCode="_-* #,##0.00\ _₽_-;\-* #,##0.00\ _₽_-;_-* &quot;-&quot;??\ _₽_-;_-@_-"/>
      <alignment horizontal="left" vertical="top" textRotation="0" wrapText="1" indent="0" justifyLastLine="0" shrinkToFit="0" readingOrder="0"/>
      <protection locked="0" hidden="0"/>
    </dxf>
    <dxf>
      <font>
        <b/>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numFmt numFmtId="165" formatCode="_-* #,##0.00\ _₽_-;\-* #,##0.00\ _₽_-;_-* &quot;-&quot;??\ _₽_-;_-@_-"/>
      <fill>
        <patternFill patternType="solid">
          <fgColor indexed="64"/>
          <bgColor theme="0"/>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fill>
        <patternFill patternType="solid">
          <fgColor indexed="64"/>
          <bgColor theme="0"/>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numFmt numFmtId="13" formatCode="0%"/>
      <fill>
        <patternFill patternType="solid">
          <fgColor indexed="64"/>
          <bgColor theme="0"/>
        </patternFill>
      </fill>
      <alignment horizontal="left" vertical="top" textRotation="0" wrapText="1" indent="0" justifyLastLine="0" shrinkToFit="0" readingOrder="0"/>
      <protection locked="0" hidden="0"/>
    </dxf>
    <dxf>
      <font>
        <strike val="0"/>
        <outline val="0"/>
        <shadow val="0"/>
        <u val="none"/>
        <vertAlign val="baseline"/>
        <color auto="1"/>
      </font>
      <numFmt numFmtId="14" formatCode="0.00%"/>
      <fill>
        <patternFill patternType="none">
          <fgColor indexed="64"/>
          <bgColor theme="0"/>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numFmt numFmtId="165" formatCode="_-* #,##0.00\ _₽_-;\-* #,##0.00\ _₽_-;_-* &quot;-&quot;??\ _₽_-;_-@_-"/>
      <fill>
        <patternFill patternType="solid">
          <fgColor indexed="64"/>
          <bgColor theme="0"/>
        </patternFill>
      </fill>
      <alignment horizontal="left" vertical="top" textRotation="0" wrapText="1" indent="0" justifyLastLine="0" shrinkToFit="0" readingOrder="0"/>
      <protection locked="0" hidden="0"/>
    </dxf>
    <dxf>
      <font>
        <strike val="0"/>
        <outline val="0"/>
        <shadow val="0"/>
        <u val="none"/>
        <vertAlign val="baseline"/>
        <color auto="1"/>
      </font>
      <fill>
        <patternFill patternType="none">
          <fgColor indexed="64"/>
          <bgColor theme="0"/>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fill>
        <patternFill patternType="solid">
          <fgColor indexed="64"/>
          <bgColor theme="0"/>
        </patternFill>
      </fill>
      <alignment horizontal="left" vertical="top" textRotation="0" wrapText="1" indent="0" justifyLastLine="0" shrinkToFit="0" readingOrder="0"/>
    </dxf>
    <dxf>
      <font>
        <strike val="0"/>
        <outline val="0"/>
        <shadow val="0"/>
        <u val="none"/>
        <vertAlign val="baseline"/>
        <color auto="1"/>
      </font>
      <fill>
        <patternFill patternType="none">
          <fgColor indexed="64"/>
          <bgColor theme="0"/>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fill>
        <patternFill patternType="solid">
          <fgColor indexed="64"/>
          <bgColor theme="0"/>
        </patternFill>
      </fill>
      <alignment horizontal="left" vertical="top" textRotation="0" wrapText="1" indent="0" justifyLastLine="0" shrinkToFit="0" readingOrder="0"/>
    </dxf>
    <dxf>
      <font>
        <strike val="0"/>
        <outline val="0"/>
        <shadow val="0"/>
        <u val="none"/>
        <vertAlign val="baseline"/>
        <color auto="1"/>
      </font>
      <fill>
        <patternFill patternType="none">
          <fgColor indexed="64"/>
          <bgColor theme="0"/>
        </patternFill>
      </fill>
      <alignment horizontal="left" vertical="top" textRotation="0" indent="0" justifyLastLine="0" shrinkToFit="0" readingOrder="0"/>
    </dxf>
    <dxf>
      <font>
        <b/>
        <i val="0"/>
        <strike val="0"/>
        <condense val="0"/>
        <extend val="0"/>
        <outline val="0"/>
        <shadow val="0"/>
        <u val="none"/>
        <vertAlign val="baseline"/>
        <sz val="11"/>
        <color auto="1"/>
        <name val="Times New Roman"/>
        <family val="1"/>
        <charset val="204"/>
        <scheme val="none"/>
      </font>
      <alignment horizontal="left" vertical="top" textRotation="0" wrapText="1" indent="0" justifyLastLine="0" shrinkToFit="0" readingOrder="0"/>
    </dxf>
    <dxf>
      <font>
        <b/>
        <strike val="0"/>
        <outline val="0"/>
        <shadow val="0"/>
        <u val="none"/>
        <vertAlign val="baseline"/>
        <sz val="11"/>
        <color auto="1"/>
        <name val="Times New Roman"/>
        <family val="1"/>
        <charset val="204"/>
        <scheme val="none"/>
      </font>
      <fill>
        <patternFill patternType="none">
          <fgColor indexed="64"/>
          <bgColor auto="1"/>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numFmt numFmtId="165" formatCode="_-* #,##0.00\ _₽_-;\-* #,##0.00\ _₽_-;_-* &quot;-&quot;??\ _₽_-;_-@_-"/>
      <alignment horizontal="left" vertical="top" textRotation="0" wrapText="1" indent="0" justifyLastLine="0" shrinkToFit="0" readingOrder="0"/>
      <border diagonalUp="0" diagonalDown="0" outline="0">
        <left style="medium">
          <color indexed="64"/>
        </left>
        <right/>
        <top style="thin">
          <color indexed="64"/>
        </top>
        <bottom/>
      </border>
    </dxf>
    <dxf>
      <font>
        <strike val="0"/>
        <outline val="0"/>
        <shadow val="0"/>
        <u val="none"/>
        <vertAlign val="baseline"/>
        <color auto="1"/>
      </font>
      <fill>
        <patternFill patternType="none">
          <fgColor indexed="64"/>
          <bgColor auto="1"/>
        </patternFill>
      </fill>
      <alignment horizontal="left" vertical="top" textRotation="0" indent="0" justifyLastLine="0" shrinkToFit="0" readingOrder="0"/>
    </dxf>
    <dxf>
      <font>
        <b/>
        <i val="0"/>
        <strike val="0"/>
        <condense val="0"/>
        <extend val="0"/>
        <outline val="0"/>
        <shadow val="0"/>
        <u val="none"/>
        <vertAlign val="baseline"/>
        <sz val="11"/>
        <color auto="1"/>
        <name val="Times New Roman"/>
        <family val="1"/>
        <charset val="204"/>
        <scheme val="none"/>
      </font>
      <numFmt numFmtId="165" formatCode="_-* #,##0.00\ _₽_-;\-* #,##0.00\ _₽_-;_-* &quot;-&quot;??\ _₽_-;_-@_-"/>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i val="0"/>
        <strike val="0"/>
        <condense val="0"/>
        <extend val="0"/>
        <outline val="0"/>
        <shadow val="0"/>
        <u val="none"/>
        <vertAlign val="baseline"/>
        <sz val="11"/>
        <color auto="1"/>
        <name val="Times New Roman"/>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top/>
        <bottom/>
      </border>
      <protection locked="0" hidden="0"/>
    </dxf>
    <dxf>
      <font>
        <strike val="0"/>
        <outline val="0"/>
        <shadow val="0"/>
        <u val="none"/>
        <vertAlign val="baseline"/>
        <color auto="1"/>
      </font>
      <numFmt numFmtId="0" formatCode="General"/>
      <fill>
        <patternFill patternType="solid">
          <fgColor indexed="64"/>
          <bgColor theme="4" tint="0.79998168889431442"/>
        </patternFill>
      </fill>
      <alignment horizontal="left" vertical="top" textRotation="0" indent="0" justifyLastLine="0" shrinkToFit="0" readingOrder="0"/>
      <border outline="0">
        <left style="thin">
          <color indexed="64"/>
        </left>
      </border>
    </dxf>
    <dxf>
      <font>
        <b/>
        <i val="0"/>
        <strike val="0"/>
        <condense val="0"/>
        <extend val="0"/>
        <outline val="0"/>
        <shadow val="0"/>
        <u val="none"/>
        <vertAlign val="baseline"/>
        <sz val="10"/>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bottom/>
      </border>
      <protection locked="0" hidden="0"/>
    </dxf>
    <dxf>
      <font>
        <strike val="0"/>
        <outline val="0"/>
        <shadow val="0"/>
        <u val="none"/>
        <vertAlign val="baseline"/>
        <sz val="10"/>
        <color auto="1"/>
        <name val="Times New Roman"/>
        <scheme val="none"/>
      </font>
      <numFmt numFmtId="0" formatCode="General"/>
      <fill>
        <patternFill patternType="solid">
          <fgColor indexed="64"/>
          <bgColor theme="4" tint="0.79998168889431442"/>
        </patternFill>
      </fill>
      <alignment horizontal="left" vertical="top" textRotation="0" indent="0" justifyLastLine="0" shrinkToFit="0" readingOrder="0"/>
      <border outline="0">
        <left/>
        <right style="thin">
          <color indexed="64"/>
        </right>
      </border>
    </dxf>
    <dxf>
      <font>
        <b/>
        <i val="0"/>
        <strike val="0"/>
        <condense val="0"/>
        <extend val="0"/>
        <outline val="0"/>
        <shadow val="0"/>
        <u val="none"/>
        <vertAlign val="baseline"/>
        <sz val="11"/>
        <color auto="1"/>
        <name val="Times New Roman"/>
        <family val="1"/>
        <charset val="204"/>
        <scheme val="none"/>
      </font>
      <numFmt numFmtId="165" formatCode="_-* #,##0.00\ _₽_-;\-* #,##0.00\ _₽_-;_-* &quot;-&quot;??\ _₽_-;_-@_-"/>
      <fill>
        <patternFill patternType="solid">
          <fgColor indexed="64"/>
          <bgColor theme="4" tint="0.79998168889431442"/>
        </patternFill>
      </fill>
      <alignment horizontal="general" vertical="top" textRotation="0" wrapText="1" indent="0" justifyLastLine="0" shrinkToFit="0" readingOrder="0"/>
      <protection locked="0" hidden="0"/>
    </dxf>
    <dxf>
      <font>
        <b/>
        <strike val="0"/>
        <outline val="0"/>
        <shadow val="0"/>
        <u val="none"/>
        <vertAlign val="baseline"/>
        <color auto="1"/>
      </font>
      <fill>
        <patternFill>
          <fgColor indexed="64"/>
          <bgColor theme="4" tint="0.79998168889431442"/>
        </patternFill>
      </fill>
      <alignment horizontal="left" vertical="top" textRotation="0" indent="0" justifyLastLine="0" shrinkToFit="0" readingOrder="0"/>
    </dxf>
    <dxf>
      <font>
        <b/>
        <i val="0"/>
        <strike val="0"/>
        <condense val="0"/>
        <extend val="0"/>
        <outline val="0"/>
        <shadow val="0"/>
        <u val="none"/>
        <vertAlign val="baseline"/>
        <sz val="11"/>
        <color auto="1"/>
        <name val="Times New Roman"/>
        <family val="1"/>
        <charset val="204"/>
        <scheme val="none"/>
      </font>
      <numFmt numFmtId="13" formatCode="0%"/>
      <fill>
        <patternFill patternType="solid">
          <fgColor indexed="64"/>
          <bgColor theme="4" tint="0.79998168889431442"/>
        </patternFill>
      </fill>
      <alignment horizontal="general" vertical="top" textRotation="0" wrapText="1" indent="0" justifyLastLine="0" shrinkToFit="0" readingOrder="0"/>
      <protection locked="0" hidden="0"/>
    </dxf>
    <dxf>
      <font>
        <strike val="0"/>
        <outline val="0"/>
        <shadow val="0"/>
        <u val="none"/>
        <vertAlign val="baseline"/>
        <color auto="1"/>
      </font>
      <fill>
        <patternFill patternType="solid">
          <fgColor indexed="64"/>
          <bgColor theme="4" tint="0.79998168889431442"/>
        </patternFill>
      </fill>
      <alignment horizontal="left" vertical="top" textRotation="0" indent="0" justifyLastLine="0" shrinkToFit="0" readingOrder="0"/>
    </dxf>
    <dxf>
      <font>
        <b/>
        <i val="0"/>
        <strike val="0"/>
        <condense val="0"/>
        <extend val="0"/>
        <outline val="0"/>
        <shadow val="0"/>
        <u val="none"/>
        <vertAlign val="baseline"/>
        <sz val="11"/>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bottom/>
      </border>
      <protection locked="0" hidden="0"/>
    </dxf>
    <dxf>
      <font>
        <strike val="0"/>
        <outline val="0"/>
        <shadow val="0"/>
        <u val="none"/>
        <vertAlign val="baseline"/>
        <color auto="1"/>
      </font>
      <fill>
        <patternFill patternType="solid">
          <fgColor indexed="64"/>
          <bgColor theme="4" tint="0.79998168889431442"/>
        </patternFill>
      </fill>
      <alignment horizontal="left" vertical="top" textRotation="0" indent="0" justifyLastLine="0" shrinkToFit="0" readingOrder="0"/>
      <border outline="0">
        <left/>
        <right style="thin">
          <color indexed="64"/>
        </right>
      </border>
    </dxf>
    <dxf>
      <font>
        <b/>
        <i val="0"/>
        <strike val="0"/>
        <condense val="0"/>
        <extend val="0"/>
        <outline val="0"/>
        <shadow val="0"/>
        <u val="none"/>
        <vertAlign val="baseline"/>
        <sz val="11"/>
        <color auto="1"/>
        <name val="Times New Roman"/>
        <family val="1"/>
        <charset val="204"/>
        <scheme val="none"/>
      </font>
      <alignment horizontal="general" vertical="top" textRotation="0" wrapText="1" indent="0" justifyLastLine="0" shrinkToFit="0" readingOrder="0"/>
      <border diagonalUp="0" diagonalDown="0" outline="0">
        <left/>
        <right style="thin">
          <color indexed="64"/>
        </right>
        <top/>
        <bottom/>
      </border>
      <protection locked="0" hidden="0"/>
    </dxf>
    <dxf>
      <font>
        <b/>
        <strike val="0"/>
        <outline val="0"/>
        <shadow val="0"/>
        <u val="none"/>
        <vertAlign val="baseline"/>
        <sz val="11"/>
        <color auto="1"/>
        <name val="Times New Roman"/>
        <scheme val="none"/>
      </font>
      <fill>
        <patternFill patternType="none">
          <fgColor indexed="64"/>
          <bgColor auto="1"/>
        </patternFill>
      </fill>
      <alignment horizontal="left" vertical="top" textRotation="0" indent="0" justifyLastLine="0" shrinkToFit="0" readingOrder="0"/>
      <border outline="0">
        <right style="thin">
          <color indexed="64"/>
        </right>
      </border>
    </dxf>
    <dxf>
      <font>
        <b/>
        <i val="0"/>
        <strike val="0"/>
        <condense val="0"/>
        <extend val="0"/>
        <outline val="0"/>
        <shadow val="0"/>
        <u val="none"/>
        <vertAlign val="baseline"/>
        <sz val="11"/>
        <color auto="1"/>
        <name val="Times New Roman"/>
        <family val="1"/>
        <charset val="204"/>
        <scheme val="none"/>
      </font>
      <alignment horizontal="general" vertical="top" textRotation="0" wrapText="1" indent="0" justifyLastLine="0" shrinkToFit="0" readingOrder="0"/>
      <border diagonalUp="0" diagonalDown="0" outline="0">
        <left style="thin">
          <color indexed="64"/>
        </left>
        <right/>
        <top/>
        <bottom/>
      </border>
      <protection locked="0" hidden="0"/>
    </dxf>
    <dxf>
      <font>
        <strike val="0"/>
        <outline val="0"/>
        <shadow val="0"/>
        <u val="none"/>
        <vertAlign val="baseline"/>
        <color auto="1"/>
      </font>
      <numFmt numFmtId="0" formatCode="General"/>
      <fill>
        <patternFill patternType="none">
          <fgColor indexed="64"/>
          <bgColor auto="1"/>
        </patternFill>
      </fill>
      <alignment horizontal="left" vertical="top" textRotation="0" indent="0" justifyLastLine="0" shrinkToFit="0" readingOrder="0"/>
      <border outline="0">
        <left style="thin">
          <color indexed="64"/>
        </left>
      </border>
    </dxf>
    <dxf>
      <font>
        <b/>
        <i val="0"/>
        <strike val="0"/>
        <condense val="0"/>
        <extend val="0"/>
        <outline val="0"/>
        <shadow val="0"/>
        <u val="none"/>
        <vertAlign val="baseline"/>
        <sz val="11"/>
        <color auto="1"/>
        <name val="Times New Roman"/>
        <family val="1"/>
        <charset val="204"/>
        <scheme val="none"/>
      </font>
      <alignment horizontal="general" vertical="top" textRotation="0" wrapText="1" indent="0" justifyLastLine="0" shrinkToFit="0" readingOrder="0"/>
      <border diagonalUp="0" diagonalDown="0" outline="0">
        <left/>
        <right style="thin">
          <color indexed="64"/>
        </right>
        <top/>
        <bottom/>
      </border>
      <protection locked="0" hidden="0"/>
    </dxf>
    <dxf>
      <font>
        <strike val="0"/>
        <outline val="0"/>
        <shadow val="0"/>
        <u val="none"/>
        <vertAlign val="baseline"/>
        <color auto="1"/>
      </font>
      <numFmt numFmtId="0" formatCode="General"/>
      <fill>
        <patternFill patternType="none">
          <fgColor indexed="64"/>
          <bgColor auto="1"/>
        </patternFill>
      </fill>
      <alignment horizontal="left" vertical="top" textRotation="0" indent="0" justifyLastLine="0" shrinkToFit="0" readingOrder="0"/>
      <border outline="0">
        <left/>
        <right style="thin">
          <color indexed="64"/>
        </right>
      </border>
    </dxf>
    <dxf>
      <font>
        <b/>
        <i val="0"/>
        <strike val="0"/>
        <condense val="0"/>
        <extend val="0"/>
        <outline val="0"/>
        <shadow val="0"/>
        <u val="none"/>
        <vertAlign val="baseline"/>
        <sz val="10"/>
        <color auto="1"/>
        <name val="Times New Roman"/>
        <family val="1"/>
        <charset val="204"/>
        <scheme val="none"/>
      </font>
      <numFmt numFmtId="165" formatCode="_-* #,##0.00\ _₽_-;\-* #,##0.00\ _₽_-;_-* &quot;-&quot;??\ _₽_-;_-@_-"/>
      <alignment horizontal="left" vertical="top" textRotation="0" wrapText="1" indent="0" justifyLastLine="0" shrinkToFit="0" readingOrder="0"/>
      <protection locked="0" hidden="0"/>
    </dxf>
    <dxf>
      <font>
        <b/>
        <strike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protection locked="0" hidden="0"/>
    </dxf>
    <dxf>
      <font>
        <b/>
        <i val="0"/>
        <strike val="0"/>
        <condense val="0"/>
        <extend val="0"/>
        <outline val="0"/>
        <shadow val="0"/>
        <u val="none"/>
        <vertAlign val="baseline"/>
        <sz val="11"/>
        <color auto="1"/>
        <name val="Times New Roman"/>
        <family val="1"/>
        <charset val="204"/>
        <scheme val="none"/>
      </font>
      <numFmt numFmtId="13" formatCode="0%"/>
      <alignment horizontal="general" vertical="top" textRotation="0" wrapText="1" indent="0" justifyLastLine="0" shrinkToFit="0" readingOrder="0"/>
      <protection locked="0" hidden="0"/>
    </dxf>
    <dxf>
      <font>
        <strike val="0"/>
        <outline val="0"/>
        <shadow val="0"/>
        <u val="none"/>
        <vertAlign val="baseline"/>
        <color auto="1"/>
      </font>
      <fill>
        <patternFill patternType="none">
          <fgColor indexed="64"/>
          <bgColor auto="1"/>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numFmt numFmtId="165" formatCode="_-* #,##0.00\ _₽_-;\-* #,##0.00\ _₽_-;_-* &quot;-&quot;??\ _₽_-;_-@_-"/>
      <alignment horizontal="left" vertical="top" textRotation="0" wrapText="1" indent="0" justifyLastLine="0" shrinkToFit="0" readingOrder="0"/>
      <border diagonalUp="0" diagonalDown="0" outline="0">
        <left/>
        <right style="thin">
          <color indexed="64"/>
        </right>
        <top style="thin">
          <color indexed="64"/>
        </top>
        <bottom/>
      </border>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bottom/>
      </border>
      <protection locked="0" hidden="0"/>
    </dxf>
    <dxf>
      <font>
        <b/>
        <strike val="0"/>
        <outline val="0"/>
        <shadow val="0"/>
        <u val="none"/>
        <vertAlign val="baseline"/>
        <sz val="11"/>
        <color auto="1"/>
      </font>
      <fill>
        <patternFill patternType="solid">
          <fgColor indexed="64"/>
          <bgColor theme="4" tint="0.79998168889431442"/>
        </patternFill>
      </fill>
      <alignment horizontal="left" vertical="top" textRotation="0" indent="0" justifyLastLine="0" shrinkToFit="0" readingOrder="0"/>
      <border outline="0">
        <right style="thin">
          <color indexed="64"/>
        </right>
      </border>
    </dxf>
    <dxf>
      <font>
        <b/>
        <i val="0"/>
        <strike val="0"/>
        <condense val="0"/>
        <extend val="0"/>
        <outline val="0"/>
        <shadow val="0"/>
        <u val="none"/>
        <vertAlign val="baseline"/>
        <sz val="11"/>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top/>
        <bottom/>
      </border>
      <protection locked="0" hidden="0"/>
    </dxf>
    <dxf>
      <font>
        <strike val="0"/>
        <outline val="0"/>
        <shadow val="0"/>
        <u val="none"/>
        <vertAlign val="baseline"/>
        <color auto="1"/>
      </font>
      <numFmt numFmtId="0" formatCode="General"/>
      <fill>
        <patternFill patternType="solid">
          <fgColor indexed="64"/>
          <bgColor theme="4" tint="0.79998168889431442"/>
        </patternFill>
      </fill>
      <alignment horizontal="left" vertical="top" textRotation="0" indent="0" justifyLastLine="0" shrinkToFit="0" readingOrder="0"/>
      <border outline="0">
        <left style="thin">
          <color indexed="64"/>
        </left>
        <right/>
      </border>
    </dxf>
    <dxf>
      <font>
        <b/>
        <i val="0"/>
        <strike val="0"/>
        <condense val="0"/>
        <extend val="0"/>
        <outline val="0"/>
        <shadow val="0"/>
        <u val="none"/>
        <vertAlign val="baseline"/>
        <sz val="11"/>
        <color auto="1"/>
        <name val="Times New Roman"/>
        <family val="1"/>
        <charset val="204"/>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bottom/>
      </border>
      <protection locked="0" hidden="0"/>
    </dxf>
    <dxf>
      <font>
        <strike val="0"/>
        <outline val="0"/>
        <shadow val="0"/>
        <u val="none"/>
        <vertAlign val="baseline"/>
        <color auto="1"/>
      </font>
      <numFmt numFmtId="0" formatCode="General"/>
      <fill>
        <patternFill patternType="solid">
          <fgColor indexed="64"/>
          <bgColor theme="4" tint="0.79998168889431442"/>
        </patternFill>
      </fill>
      <alignment horizontal="left" vertical="top" textRotation="0" wrapText="1" indent="0" justifyLastLine="0" shrinkToFit="0" readingOrder="0"/>
      <border outline="0">
        <right style="thin">
          <color indexed="64"/>
        </right>
      </border>
    </dxf>
    <dxf>
      <font>
        <b/>
        <i val="0"/>
        <strike val="0"/>
        <condense val="0"/>
        <extend val="0"/>
        <outline val="0"/>
        <shadow val="0"/>
        <u val="none"/>
        <vertAlign val="baseline"/>
        <sz val="10"/>
        <color auto="1"/>
        <name val="Times New Roman"/>
        <family val="1"/>
        <charset val="204"/>
        <scheme val="none"/>
      </font>
      <numFmt numFmtId="165" formatCode="_-* #,##0.00\ _₽_-;\-* #,##0.00\ _₽_-;_-* &quot;-&quot;??\ _₽_-;_-@_-"/>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i val="0"/>
        <strike val="0"/>
        <condense val="0"/>
        <extend val="0"/>
        <outline val="0"/>
        <shadow val="0"/>
        <u val="none"/>
        <vertAlign val="baseline"/>
        <sz val="10"/>
        <color auto="1"/>
        <name val="Times New Roman"/>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auto="1"/>
        <name val="Times New Roman"/>
        <family val="1"/>
        <charset val="204"/>
        <scheme val="none"/>
      </font>
      <numFmt numFmtId="13" formatCode="0%"/>
      <fill>
        <patternFill patternType="solid">
          <fgColor indexed="64"/>
          <bgColor theme="4" tint="0.79998168889431442"/>
        </patternFill>
      </fill>
      <alignment horizontal="left" vertical="top" textRotation="0" wrapText="1" indent="0" justifyLastLine="0" shrinkToFit="0" readingOrder="0"/>
      <protection locked="0" hidden="0"/>
    </dxf>
    <dxf>
      <font>
        <strike val="0"/>
        <outline val="0"/>
        <shadow val="0"/>
        <u val="none"/>
        <vertAlign val="baseline"/>
        <color auto="1"/>
      </font>
      <fill>
        <patternFill patternType="solid">
          <fgColor indexed="64"/>
          <bgColor theme="4" tint="0.79998168889431442"/>
        </patternFill>
      </fill>
      <alignment horizontal="left" vertical="top" textRotation="0" indent="0" justifyLastLine="0" shrinkToFit="0" readingOrder="0"/>
    </dxf>
    <dxf>
      <font>
        <b val="0"/>
        <i val="0"/>
        <strike val="0"/>
        <condense val="0"/>
        <extend val="0"/>
        <outline val="0"/>
        <shadow val="0"/>
        <u val="none"/>
        <vertAlign val="baseline"/>
        <sz val="10"/>
        <color auto="1"/>
        <name val="Times New Roman"/>
        <family val="1"/>
        <charset val="204"/>
        <scheme val="none"/>
      </font>
      <numFmt numFmtId="165" formatCode="_-* #,##0.00\ _₽_-;\-* #,##0.00\ _₽_-;_-* &quot;-&quot;??\ _₽_-;_-@_-"/>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style="thin">
          <color indexed="64"/>
        </top>
        <bottom/>
      </border>
      <protection locked="0" hidden="0"/>
    </dxf>
    <dxf>
      <font>
        <b val="0"/>
        <i val="0"/>
        <strike val="0"/>
        <condense val="0"/>
        <extend val="0"/>
        <outline val="0"/>
        <shadow val="0"/>
        <u val="none"/>
        <vertAlign val="baseline"/>
        <sz val="10"/>
        <color auto="1"/>
        <name val="Times New Roman"/>
        <scheme val="none"/>
      </font>
      <fill>
        <patternFill patternType="solid">
          <fgColor indexed="64"/>
          <bgColor theme="4" tint="0.79998168889431442"/>
        </patternFill>
      </fill>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auto="1"/>
        <name val="Times New Roman"/>
        <family val="1"/>
        <charset val="204"/>
        <scheme val="none"/>
      </font>
      <alignment horizontal="general" vertical="top" textRotation="0" wrapText="0" indent="0" justifyLastLine="0" shrinkToFit="0" readingOrder="0"/>
      <protection locked="0" hidden="0"/>
    </dxf>
    <dxf>
      <font>
        <strike val="0"/>
        <outline val="0"/>
        <shadow val="0"/>
        <u val="none"/>
        <vertAlign val="baseline"/>
        <color auto="1"/>
      </font>
    </dxf>
    <dxf>
      <font>
        <b/>
        <i val="0"/>
        <strike val="0"/>
        <condense val="0"/>
        <extend val="0"/>
        <outline val="0"/>
        <shadow val="0"/>
        <u val="none"/>
        <vertAlign val="baseline"/>
        <sz val="11"/>
        <color auto="1"/>
        <name val="Times New Roman"/>
        <family val="1"/>
        <charset val="204"/>
        <scheme val="none"/>
      </font>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Times New Roman"/>
        <scheme val="none"/>
      </font>
      <alignment horizontal="left" vertical="top" textRotation="0" wrapText="1" indent="0" justifyLastLine="0" shrinkToFit="0" readingOrder="0"/>
      <protection locked="0" hidden="0"/>
    </dxf>
    <dxf>
      <font>
        <b/>
        <i val="0"/>
        <strike val="0"/>
        <condense val="0"/>
        <extend val="0"/>
        <outline val="0"/>
        <shadow val="0"/>
        <u val="none"/>
        <vertAlign val="baseline"/>
        <sz val="11"/>
        <color auto="1"/>
        <name val="Times New Roman"/>
        <family val="1"/>
        <charset val="204"/>
        <scheme val="none"/>
      </font>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protection locked="0" hidden="0"/>
    </dxf>
    <dxf>
      <font>
        <b/>
        <i val="0"/>
        <strike val="0"/>
        <condense val="0"/>
        <extend val="0"/>
        <outline val="0"/>
        <shadow val="0"/>
        <u val="none"/>
        <vertAlign val="baseline"/>
        <sz val="11"/>
        <color auto="1"/>
        <name val="Times New Roman"/>
        <family val="1"/>
        <charset val="204"/>
        <scheme val="none"/>
      </font>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Times New Roman"/>
        <scheme val="none"/>
      </font>
      <alignment horizontal="left" vertical="top" textRotation="0" wrapText="0" indent="0" justifyLastLine="0" shrinkToFit="0" readingOrder="0"/>
      <protection locked="0" hidden="0"/>
    </dxf>
    <dxf>
      <font>
        <b/>
        <i val="0"/>
        <strike val="0"/>
        <condense val="0"/>
        <extend val="0"/>
        <outline val="0"/>
        <shadow val="0"/>
        <u val="none"/>
        <vertAlign val="baseline"/>
        <sz val="11"/>
        <color auto="1"/>
        <name val="Times New Roman"/>
        <family val="1"/>
        <charset val="204"/>
        <scheme val="none"/>
      </font>
      <alignment horizontal="left" vertical="top" textRotation="0" wrapText="0" indent="0" justifyLastLine="0" shrinkToFit="0" readingOrder="0"/>
      <protection locked="0" hidden="0"/>
    </dxf>
    <dxf>
      <font>
        <strike val="0"/>
        <outline val="0"/>
        <shadow val="0"/>
        <u val="none"/>
        <vertAlign val="baseline"/>
        <color auto="1"/>
      </font>
      <alignment horizontal="left" vertical="top" textRotation="0" wrapText="0" indent="0" justifyLastLine="0" shrinkToFit="0" readingOrder="0"/>
    </dxf>
    <dxf>
      <font>
        <b/>
        <i val="0"/>
        <strike val="0"/>
        <condense val="0"/>
        <extend val="0"/>
        <outline val="0"/>
        <shadow val="0"/>
        <u val="none"/>
        <vertAlign val="baseline"/>
        <sz val="10"/>
        <color auto="1"/>
        <name val="Times New Roman"/>
        <family val="1"/>
        <charset val="204"/>
        <scheme val="none"/>
      </font>
      <alignment horizontal="left" vertical="top" textRotation="0" wrapText="0" indent="0" justifyLastLine="0" shrinkToFit="0" readingOrder="0"/>
      <border diagonalUp="0" diagonalDown="0" outline="0">
        <left style="thin">
          <color indexed="64"/>
        </left>
        <right style="thin">
          <color indexed="64"/>
        </right>
        <top/>
        <bottom/>
      </border>
      <protection locked="0" hidden="0"/>
    </dxf>
    <dxf>
      <font>
        <b/>
        <i val="0"/>
        <strike val="0"/>
        <condense val="0"/>
        <extend val="0"/>
        <outline val="0"/>
        <shadow val="0"/>
        <u val="none"/>
        <vertAlign val="baseline"/>
        <sz val="10"/>
        <color auto="1"/>
        <name val="Times New Roman"/>
        <scheme val="none"/>
      </font>
      <numFmt numFmtId="0" formatCode="General"/>
      <fill>
        <patternFill patternType="none">
          <fgColor indexed="64"/>
          <bgColor auto="1"/>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Times New Roman"/>
        <family val="1"/>
        <charset val="204"/>
        <scheme val="none"/>
      </font>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Times New Roman"/>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color auto="1"/>
      </font>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auto="1"/>
        <name val="Times New Roman"/>
        <scheme val="none"/>
      </font>
      <alignment horizontal="left" vertical="top" textRotation="0" wrapText="1" indent="0" justifyLastLine="0" shrinkToFit="0" readingOrder="0"/>
      <protection locked="0" hidden="0"/>
    </dxf>
    <dxf>
      <border outline="0">
        <bottom style="thin">
          <color indexed="64"/>
        </bottom>
      </border>
    </dxf>
    <dxf>
      <font>
        <strike val="0"/>
        <outline val="0"/>
        <shadow val="0"/>
        <u val="none"/>
        <vertAlign val="baseline"/>
        <sz val="8"/>
        <color auto="1"/>
        <name val="Times New Roman"/>
        <scheme val="none"/>
      </font>
      <alignment vertical="top" textRotation="0" indent="0" justifyLastLine="0" shrinkToFit="0" readingOrder="0"/>
      <protection locked="0" hidden="0"/>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Стиль таблицы 1" pivot="0" count="1" xr9:uid="{00000000-0011-0000-FFFF-FFFF00000000}">
      <tableStyleElement type="wholeTable"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5</xdr:col>
      <xdr:colOff>647700</xdr:colOff>
      <xdr:row>0</xdr:row>
      <xdr:rowOff>123825</xdr:rowOff>
    </xdr:from>
    <xdr:to>
      <xdr:col>9</xdr:col>
      <xdr:colOff>459582</xdr:colOff>
      <xdr:row>3</xdr:row>
      <xdr:rowOff>42862</xdr:rowOff>
    </xdr:to>
    <xdr:pic>
      <xdr:nvPicPr>
        <xdr:cNvPr id="2" name="Рисунок 3" descr="base_1_283607_5">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67150" y="123825"/>
          <a:ext cx="2259807" cy="500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15%20&#1069;&#1040;%202025\&#1071;&#1085;&#1072;25\21-0425%20()%20()%20&#1054;&#1076;&#1085;&#1086;&#1088;&#1072;&#1079;&#1086;&#1074;&#1099;&#1077;%20&#1052;&#1048;%20(&#1095;&#1077;&#1093;&#1083;&#1099;,%20&#1089;&#1072;&#1083;&#1092;,%20&#1092;&#1072;&#1088;&#1090;)\4.%20&#1050;&#1086;&#1085;&#1090;&#1088;&#1072;&#1082;&#1090;\&#1056;&#1072;&#1089;&#1095;&#1077;&#1090;%20&#1082;&#1086;&#1085;&#1090;&#1088;&#1072;&#1082;&#1090;&#1072;%20(&#1085;&#1075;&#1088;&#1091;&#1076;&#1085;&#1080;&#1082;&#1080;).xlsx" TargetMode="External"/><Relationship Id="rId1" Type="http://schemas.openxmlformats.org/officeDocument/2006/relationships/externalLinkPath" Target="file:///Y:\15%20&#1069;&#1040;%202025\&#1071;&#1085;&#1072;25\21-0425%20()%20()%20&#1054;&#1076;&#1085;&#1086;&#1088;&#1072;&#1079;&#1086;&#1074;&#1099;&#1077;%20&#1052;&#1048;%20(&#1095;&#1077;&#1093;&#1083;&#1099;,%20&#1089;&#1072;&#1083;&#1092;,%20&#1092;&#1072;&#1088;&#1090;)\4.%20&#1050;&#1086;&#1085;&#1090;&#1088;&#1072;&#1082;&#1090;\&#1056;&#1072;&#1089;&#1095;&#1077;&#1090;%20&#1082;&#1086;&#1085;&#1090;&#1088;&#1072;&#1082;&#1090;&#1072;%20(&#1085;&#1075;&#1088;&#1091;&#1076;&#1085;&#1080;&#1082;&#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Лист1"/>
      <sheetName val="НДС"/>
      <sheetName val="Одной формулой без имен"/>
    </sheetNames>
    <sheetDataSet>
      <sheetData sheetId="0">
        <row r="31">
          <cell r="J31">
            <v>173770</v>
          </cell>
        </row>
      </sheetData>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Таблица3" displayName="Таблица3" ref="A7:AL50" totalsRowShown="0" headerRowDxfId="83" dataDxfId="81" totalsRowDxfId="79" headerRowBorderDxfId="82" tableBorderDxfId="80" dataCellStyle="Денежный">
  <autoFilter ref="A7:AL50" xr:uid="{00000000-0009-0000-0100-000003000000}">
    <filterColumn colId="31">
      <filters>
        <filter val="10"/>
        <filter val="150"/>
        <filter val="2"/>
        <filter val="20"/>
        <filter val="230"/>
        <filter val="3"/>
        <filter val="30"/>
        <filter val="4"/>
        <filter val="400"/>
        <filter val="5"/>
        <filter val="6"/>
        <filter val="7"/>
        <filter val="75"/>
        <filter val="8"/>
      </filters>
    </filterColumn>
  </autoFilter>
  <tableColumns count="38">
    <tableColumn id="1" xr3:uid="{00000000-0010-0000-0000-000001000000}" name="№ п/п" dataDxfId="78" totalsRowDxfId="77"/>
    <tableColumn id="39" xr3:uid="{00000000-0010-0000-0000-000027000000}" name="Наименование товара" dataDxfId="76" totalsRowDxfId="75"/>
    <tableColumn id="17" xr3:uid="{00000000-0010-0000-0000-000011000000}" name="Код узла СМНН" dataDxfId="74" totalsRowDxfId="73"/>
    <tableColumn id="38" xr3:uid="{00000000-0010-0000-0000-000026000000}" name="ЖНВЛП" dataDxfId="72" totalsRowDxfId="71"/>
    <tableColumn id="37" xr3:uid="{00000000-0010-0000-0000-000025000000}" name="Наркотческое средство" dataDxfId="70" totalsRowDxfId="69"/>
    <tableColumn id="35" xr3:uid="{DC2D59B4-A5CE-44E9-BAE4-76BEF7E4F74A}" name="Торговое наименование" dataDxfId="68" totalsRowDxfId="67"/>
    <tableColumn id="2" xr3:uid="{00000000-0010-0000-0000-000002000000}" name="МНН" dataDxfId="66" totalsRowDxfId="65">
      <calculatedColumnFormula>VLOOKUP(Таблица3[[#This Row],[№ п/п]],'Спецификация 25'!$1:$1048576,3,0)</calculatedColumnFormula>
    </tableColumn>
    <tableColumn id="19" xr3:uid="{00000000-0010-0000-0000-000013000000}" name="Лекарственная форма" dataDxfId="64" totalsRowDxfId="63">
      <calculatedColumnFormula>VLOOKUP(Таблица3[[#This Row],[№ п/п]],'Спецификация 25'!$1:$1048576,7,0)</calculatedColumnFormula>
    </tableColumn>
    <tableColumn id="41" xr3:uid="{00000000-0010-0000-0000-000029000000}" name="Дозировка" dataDxfId="62" totalsRowDxfId="61">
      <calculatedColumnFormula array="1">IFERROR(INDEX('Спецификация 25'!$G$2:$G$113,MATCH(Таблица3[[#This Row],[№ п/п]]&amp;Таблица3[[#Headers],[Дозировка]],'Спецификация 25'!$A$2:$A$113&amp;'Спецификация 25'!$F$2:$F$113,0)),"нет")</calculatedColumnFormula>
    </tableColumn>
    <tableColumn id="44" xr3:uid="{00000000-0010-0000-0000-00002C000000}" name="Первичная упаковка" dataDxfId="60" totalsRowDxfId="59"/>
    <tableColumn id="42" xr3:uid="{00000000-0010-0000-0000-00002A000000}" name="Описание упаковки" dataDxfId="58" totalsRowDxfId="57">
      <calculatedColumnFormula array="1">IFERROR(INDEX('Спецификация 25'!$G$2:$G$113,MATCH(Таблица3[[#This Row],[№ п/п]]&amp;Таблица3[[#Headers],[Описание упаковки]],'Спецификация 25'!$A$2:$A$113&amp;'Спецификация 25'!$F$2:$F$113,0)),"")</calculatedColumnFormula>
    </tableColumn>
    <tableColumn id="20" xr3:uid="{00000000-0010-0000-0000-000014000000}" name="Ед. изм." dataDxfId="56" totalsRowDxfId="55">
      <calculatedColumnFormula>VLOOKUP(Таблица3[[#This Row],[№ п/п]],'Спецификация 25'!$1:$1048576,8,0)</calculatedColumnFormula>
    </tableColumn>
    <tableColumn id="5" xr3:uid="{00000000-0010-0000-0000-000005000000}" name="1 Цена за уп с НДС" dataDxfId="54" totalsRowDxfId="53" dataCellStyle="Финансовый"/>
    <tableColumn id="16" xr3:uid="{00000000-0010-0000-0000-000010000000}" name="1 НДС" dataDxfId="52" totalsRowDxfId="51" dataCellStyle="Процентный"/>
    <tableColumn id="10" xr3:uid="{00000000-0010-0000-0000-00000A000000}" name="1 Цена за уп без НДС" dataDxfId="50" totalsRowDxfId="49" dataCellStyle="Финансовый">
      <calculatedColumnFormula>Таблица3[[#This Row],[1 Цена за уп с НДС]]-Таблица3[[#This Row],[1 Цена за уп с НДС]]*(1-1/(1+N8))</calculatedColumnFormula>
    </tableColumn>
    <tableColumn id="15" xr3:uid="{00000000-0010-0000-0000-00000F000000}" name="1 Кол-во шт в уп" dataDxfId="48" totalsRowDxfId="47" dataCellStyle="Финансовый">
      <calculatedColumnFormula>LEFT(Таблица3[[#This Row],[Описание упаковки]],2)</calculatedColumnFormula>
    </tableColumn>
    <tableColumn id="14" xr3:uid="{00000000-0010-0000-0000-00000E000000}" name="1 Объем катриджа" dataDxfId="46" totalsRowDxfId="45">
      <calculatedColumnFormula>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calculatedColumnFormula>
    </tableColumn>
    <tableColumn id="4" xr3:uid="{00000000-0010-0000-0000-000004000000}" name="1 Цена за единицу без НДС" dataDxfId="44" totalsRowDxfId="43">
      <calculatedColumnFormula>ROUNDDOWN(Таблица3[[#This Row],[1 Цена за уп без НДС]]/Таблица3[[#This Row],[1 Кол-во шт в уп]]/Таблица3[[#This Row],[1 Объем катриджа]],2)</calculatedColumnFormula>
    </tableColumn>
    <tableColumn id="6" xr3:uid="{00000000-0010-0000-0000-000006000000}" name="2 Цена за уп с НДС" dataDxfId="42" totalsRowDxfId="41" dataCellStyle="Финансовый"/>
    <tableColumn id="21" xr3:uid="{00000000-0010-0000-0000-000015000000}" name="2 НДС" dataDxfId="40" totalsRowDxfId="39" dataCellStyle="Процентный"/>
    <tableColumn id="32" xr3:uid="{00000000-0010-0000-0000-000020000000}" name="2 Цена за уп без НДС и Оптовой над." dataDxfId="38" totalsRowDxfId="37" dataCellStyle="Финансовый">
      <calculatedColumnFormula>Таблица3[[#This Row],[2 Цена за уп с НДС]]-(Таблица3[[#This Row],[2 Цена за уп с НДС]]*(1-1/(1+T8)))</calculatedColumnFormula>
    </tableColumn>
    <tableColumn id="22" xr3:uid="{00000000-0010-0000-0000-000016000000}" name="2 Кол-во шт в уп" dataDxfId="36" totalsRowDxfId="35">
      <calculatedColumnFormula>Таблица3[[#This Row],[1 Кол-во шт в уп]]</calculatedColumnFormula>
    </tableColumn>
    <tableColumn id="23" xr3:uid="{00000000-0010-0000-0000-000017000000}" name="2 Объем катриджа" dataDxfId="34" totalsRowDxfId="33">
      <calculatedColumnFormula>Таблица3[[#This Row],[1 Объем катриджа]]</calculatedColumnFormula>
    </tableColumn>
    <tableColumn id="24" xr3:uid="{00000000-0010-0000-0000-000018000000}" name="2 Цена за единицу без НДС" dataDxfId="32" totalsRowDxfId="31">
      <calculatedColumnFormula>ROUNDDOWN(Таблица3[[#This Row],[2 Цена за уп без НДС и Оптовой над.]]/Таблица3[[#This Row],[2 Кол-во шт в уп]]/Таблица3[[#This Row],[2 Объем катриджа]],2)</calculatedColumnFormula>
    </tableColumn>
    <tableColumn id="11" xr3:uid="{00000000-0010-0000-0000-00000B000000}" name="3 Цена за уп с НДС" dataDxfId="30" totalsRowDxfId="29"/>
    <tableColumn id="25" xr3:uid="{00000000-0010-0000-0000-000019000000}" name="3 НДС" dataDxfId="28" totalsRowDxfId="27" dataCellStyle="Процентный"/>
    <tableColumn id="33" xr3:uid="{00000000-0010-0000-0000-000021000000}" name="3 Цена за уп без НДС и Оптовой над." dataDxfId="26" totalsRowDxfId="25" dataCellStyle="Финансовый">
      <calculatedColumnFormula>Таблица3[[#This Row],[3 Цена за уп с НДС]]-(Таблица3[[#This Row],[3 Цена за уп с НДС]]*(1-1/(1+Z8)))</calculatedColumnFormula>
    </tableColumn>
    <tableColumn id="3" xr3:uid="{00000000-0010-0000-0000-000003000000}" name="3 Кол-во шт в уп" dataDxfId="24" totalsRowDxfId="23" dataCellStyle="Финансовый">
      <calculatedColumnFormula>Таблица3[[#This Row],[1 Кол-во шт в уп]]</calculatedColumnFormula>
    </tableColumn>
    <tableColumn id="12" xr3:uid="{00000000-0010-0000-0000-00000C000000}" name="3 Объем катриджа" dataDxfId="22" totalsRowDxfId="21">
      <calculatedColumnFormula>Таблица3[[#This Row],[1 Объем катриджа]]</calculatedColumnFormula>
    </tableColumn>
    <tableColumn id="7" xr3:uid="{00000000-0010-0000-0000-000007000000}" name="3 Цена за единицу без НДС" dataDxfId="20" totalsRowDxfId="19" dataCellStyle="Финансовый">
      <calculatedColumnFormula>ROUNDDOWN(Таблица3[[#This Row],[3 Цена за уп без НДС и Оптовой над.]]/Таблица3[[#This Row],[3 Кол-во шт в уп]]/Таблица3[[#This Row],[3 Объем катриджа]],2)</calculatedColumnFormula>
    </tableColumn>
    <tableColumn id="8" xr3:uid="{00000000-0010-0000-0000-000008000000}" name="Цена за единицу, руб. " dataDxfId="18" totalsRowDxfId="17" dataCellStyle="Финансовый">
      <calculatedColumnFormula>ROUND(MIN(Таблица3[[#This Row],[1 Цена за единицу без НДС]],Таблица3[[#This Row],[2 Цена за единицу без НДС]],Таблица3[[#This Row],[3 Цена за единицу без НДС]]),2)</calculatedColumnFormula>
    </tableColumn>
    <tableColumn id="18" xr3:uid="{00000000-0010-0000-0000-000012000000}" name="Кол-во Упак" dataDxfId="16" totalsRowDxfId="15" dataCellStyle="Финансовый"/>
    <tableColumn id="45" xr3:uid="{00000000-0010-0000-0000-00002D000000}" name="Объем" dataDxfId="14" totalsRowDxfId="13" dataCellStyle="Финансовый"/>
    <tableColumn id="46" xr3:uid="{00000000-0010-0000-0000-00002E000000}" name="Кол-во шт в уп" dataDxfId="12" totalsRowDxfId="11" dataCellStyle="Финансовый"/>
    <tableColumn id="9" xr3:uid="{00000000-0010-0000-0000-000009000000}" name="Кол-во ЛП (мл/шт)" dataDxfId="10" totalsRowDxfId="9" dataCellStyle="Финансовый">
      <calculatedColumnFormula>Таблица3[[#This Row],[Кол-во Упак]]*Таблица3[[#This Row],[Объем]]*Таблица3[[#This Row],[Кол-во шт в уп]]</calculatedColumnFormula>
    </tableColumn>
    <tableColumn id="13" xr3:uid="{00000000-0010-0000-0000-00000D000000}" name="Коэф. вариации*" dataDxfId="8" totalsRowDxfId="7" dataCellStyle="Процентный">
      <calculatedColumnFormula>STDEV(Таблица3[[#This Row],[1 Цена за единицу без НДС]],Таблица3[[#This Row],[2 Цена за единицу без НДС]],Таблица3[[#This Row],[3 Цена за единицу без НДС]])/Таблица3[[#This Row],[Цена за единицу, руб. ]]</calculatedColumnFormula>
    </tableColumn>
    <tableColumn id="48" xr3:uid="{DB63268F-D5F1-40B2-B271-DDF170857E02}" name="НМЦК без НДС" dataDxfId="6" totalsRowDxfId="5" dataCellStyle="Финансовый">
      <calculatedColumnFormula>Таблица3[[#This Row],[Цена за единицу, руб. ]]*Таблица3[[#This Row],[Кол-во ЛП (мл/шт)]]</calculatedColumnFormula>
    </tableColumn>
    <tableColumn id="31" xr3:uid="{00000000-0010-0000-0000-00001F000000}" name="НМЦК" dataDxfId="4" totalsRowDxfId="3" dataCellStyle="Финансовый">
      <calculatedColumnFormula>ROUND((Таблица3[[#This Row],[Цена за единицу, руб. ]]+Таблица3[[#This Row],[Цена за единицу, руб. ]]*10%),2)*Таблица3[[#This Row],[Кол-во ЛП (мл/шт)]]</calculatedColumnFormula>
    </tableColumn>
  </tableColumns>
  <tableStyleInfo name="Стиль таблицы 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A3E8E-432E-4726-8546-2B9DFF5A8946}">
  <dimension ref="A1:M52"/>
  <sheetViews>
    <sheetView workbookViewId="0">
      <selection activeCell="B20" sqref="B20"/>
    </sheetView>
  </sheetViews>
  <sheetFormatPr defaultRowHeight="15" x14ac:dyDescent="0.25"/>
  <cols>
    <col min="1" max="1" width="9.140625" style="229"/>
    <col min="2" max="2" width="15.42578125" style="229" bestFit="1" customWidth="1"/>
    <col min="3" max="3" width="17.85546875" style="229" customWidth="1"/>
    <col min="4" max="4" width="12.85546875" style="229" customWidth="1"/>
    <col min="5" max="5" width="13.5703125" style="229" customWidth="1"/>
    <col min="6" max="6" width="15.7109375" style="229" customWidth="1"/>
    <col min="7" max="7" width="15.5703125" style="229" customWidth="1"/>
    <col min="8" max="8" width="14.28515625" style="229" customWidth="1"/>
    <col min="9" max="9" width="11.7109375" style="229" customWidth="1"/>
    <col min="10" max="10" width="15" style="229" customWidth="1"/>
    <col min="11" max="11" width="14.5703125" style="229" bestFit="1" customWidth="1"/>
    <col min="12" max="12" width="9.28515625" style="229" bestFit="1" customWidth="1"/>
    <col min="13" max="13" width="13.28515625" style="229" bestFit="1" customWidth="1"/>
    <col min="14" max="14" width="14.5703125" style="229" bestFit="1" customWidth="1"/>
    <col min="15" max="15" width="13.140625" style="229" bestFit="1" customWidth="1"/>
    <col min="16" max="16384" width="9.140625" style="229"/>
  </cols>
  <sheetData>
    <row r="1" spans="1:13" x14ac:dyDescent="0.25">
      <c r="B1" s="230" t="s">
        <v>333</v>
      </c>
      <c r="C1" s="231">
        <f>H37</f>
        <v>96528.1</v>
      </c>
      <c r="D1" s="232" t="s">
        <v>334</v>
      </c>
      <c r="E1" s="233">
        <f>C1-C2</f>
        <v>87752.818181818191</v>
      </c>
      <c r="F1" s="232"/>
      <c r="G1" s="230"/>
      <c r="H1" s="230"/>
      <c r="I1" s="230">
        <v>50</v>
      </c>
      <c r="J1" s="230"/>
      <c r="K1" s="230"/>
      <c r="L1" s="237">
        <v>0</v>
      </c>
      <c r="M1" s="299">
        <f>SUMIF(ИТОГ!$M$8:$M$45,L1,ИТОГ!$J$8:$J$45)</f>
        <v>38505.699999999997</v>
      </c>
    </row>
    <row r="2" spans="1:13" x14ac:dyDescent="0.25">
      <c r="B2" s="234">
        <v>0.1</v>
      </c>
      <c r="C2" s="235">
        <f>C1*B2/(1+B2)</f>
        <v>8775.2818181818184</v>
      </c>
      <c r="D2" s="230"/>
      <c r="F2" s="230"/>
      <c r="G2" s="230"/>
      <c r="H2" s="230"/>
      <c r="I2" s="230">
        <v>1.8</v>
      </c>
      <c r="J2" s="230"/>
      <c r="K2" s="230"/>
      <c r="L2" s="237">
        <v>8</v>
      </c>
      <c r="M2" s="299">
        <f>SUMIF(ИТОГ!$M$8:$M$45,L2,ИТОГ!$J$8:$J$45)</f>
        <v>79762.100000000006</v>
      </c>
    </row>
    <row r="3" spans="1:13" x14ac:dyDescent="0.25">
      <c r="B3" s="234">
        <v>0.2</v>
      </c>
      <c r="C3" s="235">
        <f>C1*B3/(1+B3)</f>
        <v>16088.01666666667</v>
      </c>
      <c r="D3" s="230"/>
      <c r="F3" s="230"/>
      <c r="G3" s="230"/>
      <c r="H3" s="230"/>
      <c r="I3" s="230"/>
      <c r="J3" s="230"/>
      <c r="K3" s="230"/>
      <c r="L3" s="300" t="s">
        <v>418</v>
      </c>
      <c r="M3" s="301">
        <f>SUM(M1:M2)</f>
        <v>118267.8</v>
      </c>
    </row>
    <row r="4" spans="1:13" x14ac:dyDescent="0.25">
      <c r="B4" s="230" t="s">
        <v>335</v>
      </c>
      <c r="C4" s="235">
        <v>16909.38</v>
      </c>
      <c r="D4" s="235">
        <f>C4*1.5</f>
        <v>25364.07</v>
      </c>
      <c r="G4" s="230"/>
      <c r="H4" s="230"/>
      <c r="I4" s="230"/>
      <c r="J4" s="230"/>
      <c r="K4" s="230"/>
      <c r="L4" s="236"/>
      <c r="M4" s="230"/>
    </row>
    <row r="5" spans="1:13" x14ac:dyDescent="0.25">
      <c r="B5" s="237" t="s">
        <v>336</v>
      </c>
      <c r="C5" s="238" t="s">
        <v>337</v>
      </c>
      <c r="D5" s="239" t="s">
        <v>338</v>
      </c>
      <c r="E5" s="238" t="s">
        <v>339</v>
      </c>
      <c r="F5" s="238" t="s">
        <v>336</v>
      </c>
      <c r="G5" s="237" t="s">
        <v>337</v>
      </c>
      <c r="H5" s="237" t="s">
        <v>338</v>
      </c>
      <c r="I5" s="237" t="s">
        <v>340</v>
      </c>
      <c r="J5" s="238" t="s">
        <v>333</v>
      </c>
      <c r="K5" s="240"/>
      <c r="L5" s="235"/>
    </row>
    <row r="6" spans="1:13" x14ac:dyDescent="0.25">
      <c r="A6" s="229">
        <v>1</v>
      </c>
      <c r="B6" s="241">
        <f>D6-C6</f>
        <v>5.54</v>
      </c>
      <c r="C6" s="241">
        <f>ROUND(D6*$B$2/(1+$B$2),2)</f>
        <v>0.55000000000000004</v>
      </c>
      <c r="D6" s="242">
        <v>6.09</v>
      </c>
      <c r="E6" s="243">
        <v>200</v>
      </c>
      <c r="F6" s="241">
        <f>H6-G6</f>
        <v>1107.27</v>
      </c>
      <c r="G6" s="241">
        <f>ROUND(H6*$J6/(1+$J6),2)</f>
        <v>110.73</v>
      </c>
      <c r="H6" s="241">
        <f>D6*E6</f>
        <v>1218</v>
      </c>
      <c r="I6" s="239">
        <f>E6/$I$2/$I$1</f>
        <v>2.2222222222222223</v>
      </c>
      <c r="J6" s="244">
        <v>0.1</v>
      </c>
      <c r="K6" s="245"/>
    </row>
    <row r="7" spans="1:13" x14ac:dyDescent="0.25">
      <c r="A7" s="229">
        <v>2</v>
      </c>
      <c r="B7" s="241">
        <f>D7-C7</f>
        <v>5.6400000000000006</v>
      </c>
      <c r="C7" s="241">
        <f>ROUND(D7*$B$2/(1+$B$2),2)</f>
        <v>0.56000000000000005</v>
      </c>
      <c r="D7" s="242">
        <v>6.2</v>
      </c>
      <c r="E7" s="243">
        <v>200</v>
      </c>
      <c r="F7" s="241">
        <f t="shared" ref="F7:F36" si="0">H7-G7</f>
        <v>1127.27</v>
      </c>
      <c r="G7" s="241">
        <f t="shared" ref="G7:G36" si="1">ROUND(H7*$J7/(1+$J7),2)</f>
        <v>112.73</v>
      </c>
      <c r="H7" s="241">
        <f t="shared" ref="H7:H36" si="2">D7*E7</f>
        <v>1240</v>
      </c>
      <c r="I7" s="239">
        <f t="shared" ref="I7:I36" si="3">E7/$I$2/$I$1</f>
        <v>2.2222222222222223</v>
      </c>
      <c r="J7" s="244">
        <v>0.1</v>
      </c>
      <c r="K7" s="245"/>
    </row>
    <row r="8" spans="1:13" x14ac:dyDescent="0.25">
      <c r="A8" s="229">
        <v>3</v>
      </c>
      <c r="B8" s="241">
        <f>D8-C8</f>
        <v>6.8100000000000005</v>
      </c>
      <c r="C8" s="241">
        <f>ROUND(D8*$B$2/(1+$B$2),2)</f>
        <v>0.68</v>
      </c>
      <c r="D8" s="242">
        <v>7.49</v>
      </c>
      <c r="E8" s="243">
        <v>50</v>
      </c>
      <c r="F8" s="241">
        <f t="shared" si="0"/>
        <v>340.45</v>
      </c>
      <c r="G8" s="241">
        <f t="shared" si="1"/>
        <v>34.049999999999997</v>
      </c>
      <c r="H8" s="241">
        <f t="shared" si="2"/>
        <v>374.5</v>
      </c>
      <c r="I8" s="239">
        <f t="shared" si="3"/>
        <v>0.55555555555555558</v>
      </c>
      <c r="J8" s="244">
        <v>0.1</v>
      </c>
    </row>
    <row r="9" spans="1:13" x14ac:dyDescent="0.25">
      <c r="A9" s="229">
        <v>4</v>
      </c>
      <c r="B9" s="241">
        <f>D9-C9</f>
        <v>4.09</v>
      </c>
      <c r="C9" s="241">
        <f t="shared" ref="C9:C36" si="4">ROUND(D9*$B$2/(1+$B$2),2)</f>
        <v>0.41</v>
      </c>
      <c r="D9" s="242">
        <v>4.5</v>
      </c>
      <c r="E9" s="243">
        <v>80</v>
      </c>
      <c r="F9" s="241">
        <f t="shared" si="0"/>
        <v>327.27</v>
      </c>
      <c r="G9" s="241">
        <f t="shared" si="1"/>
        <v>32.729999999999997</v>
      </c>
      <c r="H9" s="241">
        <f t="shared" si="2"/>
        <v>360</v>
      </c>
      <c r="I9" s="239">
        <f t="shared" si="3"/>
        <v>0.88888888888888884</v>
      </c>
      <c r="J9" s="244">
        <v>0.1</v>
      </c>
    </row>
    <row r="10" spans="1:13" x14ac:dyDescent="0.25">
      <c r="A10" s="229">
        <v>5</v>
      </c>
      <c r="B10" s="241">
        <f t="shared" ref="B10:B36" si="5">D10-C10</f>
        <v>17.27</v>
      </c>
      <c r="C10" s="241">
        <f t="shared" si="4"/>
        <v>1.73</v>
      </c>
      <c r="D10" s="242">
        <v>19</v>
      </c>
      <c r="E10" s="243">
        <v>50</v>
      </c>
      <c r="F10" s="241">
        <f t="shared" si="0"/>
        <v>863.64</v>
      </c>
      <c r="G10" s="241">
        <f t="shared" si="1"/>
        <v>86.36</v>
      </c>
      <c r="H10" s="241">
        <f t="shared" si="2"/>
        <v>950</v>
      </c>
      <c r="I10" s="239">
        <f t="shared" si="3"/>
        <v>0.55555555555555558</v>
      </c>
      <c r="J10" s="244">
        <v>0.1</v>
      </c>
    </row>
    <row r="11" spans="1:13" x14ac:dyDescent="0.25">
      <c r="A11" s="229">
        <v>6</v>
      </c>
      <c r="B11" s="241">
        <f t="shared" si="5"/>
        <v>20</v>
      </c>
      <c r="C11" s="241">
        <f t="shared" si="4"/>
        <v>2</v>
      </c>
      <c r="D11" s="242">
        <v>22</v>
      </c>
      <c r="E11" s="243">
        <v>1150</v>
      </c>
      <c r="F11" s="241">
        <f t="shared" si="0"/>
        <v>23000</v>
      </c>
      <c r="G11" s="241">
        <f t="shared" si="1"/>
        <v>2300</v>
      </c>
      <c r="H11" s="241">
        <f t="shared" si="2"/>
        <v>25300</v>
      </c>
      <c r="I11" s="239">
        <f t="shared" si="3"/>
        <v>12.777777777777779</v>
      </c>
      <c r="J11" s="244">
        <v>0.1</v>
      </c>
    </row>
    <row r="12" spans="1:13" x14ac:dyDescent="0.25">
      <c r="A12" s="229">
        <v>7</v>
      </c>
      <c r="B12" s="241">
        <f t="shared" si="5"/>
        <v>2.8200000000000003</v>
      </c>
      <c r="C12" s="241">
        <f t="shared" si="4"/>
        <v>0.28000000000000003</v>
      </c>
      <c r="D12" s="242">
        <v>3.1</v>
      </c>
      <c r="E12" s="243">
        <v>120</v>
      </c>
      <c r="F12" s="241">
        <f t="shared" si="0"/>
        <v>338.18</v>
      </c>
      <c r="G12" s="241">
        <f t="shared" si="1"/>
        <v>33.82</v>
      </c>
      <c r="H12" s="241">
        <f t="shared" si="2"/>
        <v>372</v>
      </c>
      <c r="I12" s="239">
        <f t="shared" si="3"/>
        <v>1.3333333333333335</v>
      </c>
      <c r="J12" s="244">
        <v>0.1</v>
      </c>
    </row>
    <row r="13" spans="1:13" x14ac:dyDescent="0.25">
      <c r="A13" s="229">
        <v>8</v>
      </c>
      <c r="B13" s="241">
        <f t="shared" si="5"/>
        <v>1.33</v>
      </c>
      <c r="C13" s="241">
        <f t="shared" si="4"/>
        <v>0.13</v>
      </c>
      <c r="D13" s="242">
        <v>1.46</v>
      </c>
      <c r="E13" s="243">
        <v>150</v>
      </c>
      <c r="F13" s="241">
        <f t="shared" si="0"/>
        <v>199.09</v>
      </c>
      <c r="G13" s="241">
        <f t="shared" si="1"/>
        <v>19.91</v>
      </c>
      <c r="H13" s="241">
        <f t="shared" si="2"/>
        <v>219</v>
      </c>
      <c r="I13" s="239">
        <f t="shared" si="3"/>
        <v>1.6666666666666665</v>
      </c>
      <c r="J13" s="244">
        <v>0.1</v>
      </c>
    </row>
    <row r="14" spans="1:13" x14ac:dyDescent="0.25">
      <c r="A14" s="229">
        <v>9</v>
      </c>
      <c r="B14" s="241">
        <f t="shared" si="5"/>
        <v>2.98</v>
      </c>
      <c r="C14" s="241">
        <f t="shared" si="4"/>
        <v>0.3</v>
      </c>
      <c r="D14" s="242">
        <v>3.28</v>
      </c>
      <c r="E14" s="243">
        <v>500</v>
      </c>
      <c r="F14" s="241">
        <f t="shared" si="0"/>
        <v>1490.91</v>
      </c>
      <c r="G14" s="241">
        <f t="shared" si="1"/>
        <v>149.09</v>
      </c>
      <c r="H14" s="241">
        <f t="shared" si="2"/>
        <v>1640</v>
      </c>
      <c r="I14" s="239">
        <f t="shared" si="3"/>
        <v>5.5555555555555554</v>
      </c>
      <c r="J14" s="244">
        <v>0.1</v>
      </c>
    </row>
    <row r="15" spans="1:13" x14ac:dyDescent="0.25">
      <c r="A15" s="229">
        <v>10</v>
      </c>
      <c r="B15" s="241">
        <f t="shared" si="5"/>
        <v>2.87</v>
      </c>
      <c r="C15" s="241">
        <f t="shared" si="4"/>
        <v>0.28999999999999998</v>
      </c>
      <c r="D15" s="242">
        <v>3.16</v>
      </c>
      <c r="E15" s="243">
        <v>500</v>
      </c>
      <c r="F15" s="241">
        <f t="shared" si="0"/>
        <v>1436.3600000000001</v>
      </c>
      <c r="G15" s="241">
        <f t="shared" si="1"/>
        <v>143.63999999999999</v>
      </c>
      <c r="H15" s="241">
        <f t="shared" si="2"/>
        <v>1580</v>
      </c>
      <c r="I15" s="239">
        <f t="shared" si="3"/>
        <v>5.5555555555555554</v>
      </c>
      <c r="J15" s="244">
        <v>0.1</v>
      </c>
    </row>
    <row r="16" spans="1:13" x14ac:dyDescent="0.25">
      <c r="A16" s="229">
        <v>11</v>
      </c>
      <c r="B16" s="241">
        <f t="shared" si="5"/>
        <v>1.3199999999999998</v>
      </c>
      <c r="C16" s="241">
        <f t="shared" si="4"/>
        <v>0.13</v>
      </c>
      <c r="D16" s="242">
        <v>1.45</v>
      </c>
      <c r="E16" s="243">
        <v>200</v>
      </c>
      <c r="F16" s="241">
        <f t="shared" si="0"/>
        <v>263.64</v>
      </c>
      <c r="G16" s="241">
        <f t="shared" si="1"/>
        <v>26.36</v>
      </c>
      <c r="H16" s="241">
        <f t="shared" si="2"/>
        <v>290</v>
      </c>
      <c r="I16" s="239">
        <f t="shared" si="3"/>
        <v>2.2222222222222223</v>
      </c>
      <c r="J16" s="244">
        <v>0.1</v>
      </c>
    </row>
    <row r="17" spans="1:10" x14ac:dyDescent="0.25">
      <c r="A17" s="229">
        <v>12</v>
      </c>
      <c r="B17" s="241">
        <f t="shared" si="5"/>
        <v>5.45</v>
      </c>
      <c r="C17" s="241">
        <f t="shared" si="4"/>
        <v>0.55000000000000004</v>
      </c>
      <c r="D17" s="242">
        <v>6</v>
      </c>
      <c r="E17" s="243">
        <v>100</v>
      </c>
      <c r="F17" s="241">
        <f t="shared" si="0"/>
        <v>545.45000000000005</v>
      </c>
      <c r="G17" s="241">
        <f t="shared" si="1"/>
        <v>54.55</v>
      </c>
      <c r="H17" s="241">
        <f t="shared" si="2"/>
        <v>600</v>
      </c>
      <c r="I17" s="239">
        <f t="shared" si="3"/>
        <v>1.1111111111111112</v>
      </c>
      <c r="J17" s="244">
        <v>0.1</v>
      </c>
    </row>
    <row r="18" spans="1:10" x14ac:dyDescent="0.25">
      <c r="A18" s="229">
        <v>13</v>
      </c>
      <c r="B18" s="241">
        <f t="shared" si="5"/>
        <v>4</v>
      </c>
      <c r="C18" s="241">
        <f t="shared" si="4"/>
        <v>0.4</v>
      </c>
      <c r="D18" s="242">
        <v>4.4000000000000004</v>
      </c>
      <c r="E18" s="243">
        <v>100</v>
      </c>
      <c r="F18" s="241">
        <f t="shared" si="0"/>
        <v>400.00000000000006</v>
      </c>
      <c r="G18" s="241">
        <f t="shared" si="1"/>
        <v>40</v>
      </c>
      <c r="H18" s="241">
        <f t="shared" si="2"/>
        <v>440.00000000000006</v>
      </c>
      <c r="I18" s="239">
        <f t="shared" si="3"/>
        <v>1.1111111111111112</v>
      </c>
      <c r="J18" s="244">
        <v>0.1</v>
      </c>
    </row>
    <row r="19" spans="1:10" x14ac:dyDescent="0.25">
      <c r="A19" s="229">
        <v>14</v>
      </c>
      <c r="B19" s="241">
        <f t="shared" si="5"/>
        <v>6.14</v>
      </c>
      <c r="C19" s="241">
        <f t="shared" si="4"/>
        <v>0.61</v>
      </c>
      <c r="D19" s="242">
        <v>6.75</v>
      </c>
      <c r="E19" s="243">
        <v>120</v>
      </c>
      <c r="F19" s="241">
        <f t="shared" si="0"/>
        <v>736.36</v>
      </c>
      <c r="G19" s="241">
        <f t="shared" si="1"/>
        <v>73.64</v>
      </c>
      <c r="H19" s="241">
        <f t="shared" si="2"/>
        <v>810</v>
      </c>
      <c r="I19" s="239">
        <f t="shared" si="3"/>
        <v>1.3333333333333335</v>
      </c>
      <c r="J19" s="244">
        <v>0.1</v>
      </c>
    </row>
    <row r="20" spans="1:10" x14ac:dyDescent="0.25">
      <c r="A20" s="229">
        <v>15</v>
      </c>
      <c r="B20" s="241">
        <f t="shared" si="5"/>
        <v>3.9600000000000004</v>
      </c>
      <c r="C20" s="241">
        <f t="shared" si="4"/>
        <v>0.4</v>
      </c>
      <c r="D20" s="242">
        <v>4.3600000000000003</v>
      </c>
      <c r="E20" s="243">
        <v>120</v>
      </c>
      <c r="F20" s="241">
        <f t="shared" si="0"/>
        <v>475.64000000000004</v>
      </c>
      <c r="G20" s="241">
        <f t="shared" si="1"/>
        <v>47.56</v>
      </c>
      <c r="H20" s="241">
        <f t="shared" si="2"/>
        <v>523.20000000000005</v>
      </c>
      <c r="I20" s="239">
        <f t="shared" si="3"/>
        <v>1.3333333333333335</v>
      </c>
      <c r="J20" s="244">
        <v>0.1</v>
      </c>
    </row>
    <row r="21" spans="1:10" x14ac:dyDescent="0.25">
      <c r="A21" s="229">
        <v>16</v>
      </c>
      <c r="B21" s="241">
        <f t="shared" si="5"/>
        <v>5.93</v>
      </c>
      <c r="C21" s="241">
        <f t="shared" si="4"/>
        <v>0.59</v>
      </c>
      <c r="D21" s="242">
        <v>6.52</v>
      </c>
      <c r="E21" s="243">
        <v>150</v>
      </c>
      <c r="F21" s="241">
        <f t="shared" si="0"/>
        <v>889.08999999999992</v>
      </c>
      <c r="G21" s="241">
        <f t="shared" si="1"/>
        <v>88.91</v>
      </c>
      <c r="H21" s="241">
        <f t="shared" si="2"/>
        <v>977.99999999999989</v>
      </c>
      <c r="I21" s="239">
        <f t="shared" si="3"/>
        <v>1.6666666666666665</v>
      </c>
      <c r="J21" s="244">
        <v>0.1</v>
      </c>
    </row>
    <row r="22" spans="1:10" x14ac:dyDescent="0.25">
      <c r="A22" s="229">
        <v>17</v>
      </c>
      <c r="B22" s="241">
        <f t="shared" si="5"/>
        <v>8.9599999999999991</v>
      </c>
      <c r="C22" s="241">
        <f t="shared" si="4"/>
        <v>0.9</v>
      </c>
      <c r="D22" s="242">
        <v>9.86</v>
      </c>
      <c r="E22" s="243">
        <v>280</v>
      </c>
      <c r="F22" s="241">
        <f t="shared" si="0"/>
        <v>2509.8199999999997</v>
      </c>
      <c r="G22" s="241">
        <f t="shared" si="1"/>
        <v>250.98</v>
      </c>
      <c r="H22" s="241">
        <f t="shared" si="2"/>
        <v>2760.7999999999997</v>
      </c>
      <c r="I22" s="239">
        <f t="shared" si="3"/>
        <v>3.1111111111111107</v>
      </c>
      <c r="J22" s="244">
        <v>0.1</v>
      </c>
    </row>
    <row r="23" spans="1:10" x14ac:dyDescent="0.25">
      <c r="A23" s="229">
        <v>18</v>
      </c>
      <c r="B23" s="241">
        <f t="shared" si="5"/>
        <v>20.45</v>
      </c>
      <c r="C23" s="241">
        <f t="shared" si="4"/>
        <v>2.0499999999999998</v>
      </c>
      <c r="D23" s="242">
        <v>22.5</v>
      </c>
      <c r="E23" s="243">
        <v>100</v>
      </c>
      <c r="F23" s="241">
        <f t="shared" si="0"/>
        <v>2045.45</v>
      </c>
      <c r="G23" s="241">
        <f t="shared" si="1"/>
        <v>204.55</v>
      </c>
      <c r="H23" s="241">
        <f t="shared" si="2"/>
        <v>2250</v>
      </c>
      <c r="I23" s="239">
        <f t="shared" si="3"/>
        <v>1.1111111111111112</v>
      </c>
      <c r="J23" s="244">
        <v>0.1</v>
      </c>
    </row>
    <row r="24" spans="1:10" x14ac:dyDescent="0.25">
      <c r="A24" s="229">
        <v>19</v>
      </c>
      <c r="B24" s="241">
        <f t="shared" si="5"/>
        <v>4.05</v>
      </c>
      <c r="C24" s="241">
        <f t="shared" si="4"/>
        <v>0.41</v>
      </c>
      <c r="D24" s="242">
        <v>4.46</v>
      </c>
      <c r="E24" s="243">
        <v>80</v>
      </c>
      <c r="F24" s="241">
        <f t="shared" si="0"/>
        <v>324.36</v>
      </c>
      <c r="G24" s="241">
        <f t="shared" si="1"/>
        <v>32.44</v>
      </c>
      <c r="H24" s="241">
        <f t="shared" si="2"/>
        <v>356.8</v>
      </c>
      <c r="I24" s="239">
        <f t="shared" si="3"/>
        <v>0.88888888888888884</v>
      </c>
      <c r="J24" s="244">
        <v>0.1</v>
      </c>
    </row>
    <row r="25" spans="1:10" x14ac:dyDescent="0.25">
      <c r="A25" s="229">
        <v>20</v>
      </c>
      <c r="B25" s="241">
        <f t="shared" si="5"/>
        <v>1.3599999999999999</v>
      </c>
      <c r="C25" s="241">
        <f t="shared" si="4"/>
        <v>0.14000000000000001</v>
      </c>
      <c r="D25" s="242">
        <v>1.5</v>
      </c>
      <c r="E25" s="243">
        <v>400</v>
      </c>
      <c r="F25" s="241">
        <f t="shared" si="0"/>
        <v>545.45000000000005</v>
      </c>
      <c r="G25" s="241">
        <f t="shared" si="1"/>
        <v>54.55</v>
      </c>
      <c r="H25" s="241">
        <f t="shared" si="2"/>
        <v>600</v>
      </c>
      <c r="I25" s="239">
        <f t="shared" si="3"/>
        <v>4.4444444444444446</v>
      </c>
      <c r="J25" s="244">
        <v>0.1</v>
      </c>
    </row>
    <row r="26" spans="1:10" x14ac:dyDescent="0.25">
      <c r="A26" s="229">
        <v>21</v>
      </c>
      <c r="B26" s="241">
        <f t="shared" si="5"/>
        <v>35.949999999999996</v>
      </c>
      <c r="C26" s="241">
        <f t="shared" si="4"/>
        <v>3.6</v>
      </c>
      <c r="D26" s="242">
        <v>39.549999999999997</v>
      </c>
      <c r="E26" s="243">
        <v>50</v>
      </c>
      <c r="F26" s="241">
        <f t="shared" si="0"/>
        <v>1797.7299999999998</v>
      </c>
      <c r="G26" s="241">
        <f t="shared" si="1"/>
        <v>179.77</v>
      </c>
      <c r="H26" s="241">
        <f t="shared" si="2"/>
        <v>1977.4999999999998</v>
      </c>
      <c r="I26" s="239">
        <f t="shared" si="3"/>
        <v>0.55555555555555558</v>
      </c>
      <c r="J26" s="244">
        <v>0.1</v>
      </c>
    </row>
    <row r="27" spans="1:10" x14ac:dyDescent="0.25">
      <c r="A27" s="229">
        <v>22</v>
      </c>
      <c r="B27" s="241">
        <f t="shared" si="5"/>
        <v>1.1199999999999999</v>
      </c>
      <c r="C27" s="241">
        <f t="shared" si="4"/>
        <v>0.11</v>
      </c>
      <c r="D27" s="242">
        <v>1.23</v>
      </c>
      <c r="E27" s="243">
        <v>800</v>
      </c>
      <c r="F27" s="241">
        <f t="shared" si="0"/>
        <v>894.55</v>
      </c>
      <c r="G27" s="241">
        <f t="shared" si="1"/>
        <v>89.45</v>
      </c>
      <c r="H27" s="241">
        <f t="shared" si="2"/>
        <v>984</v>
      </c>
      <c r="I27" s="239">
        <f t="shared" si="3"/>
        <v>8.8888888888888893</v>
      </c>
      <c r="J27" s="244">
        <v>0.1</v>
      </c>
    </row>
    <row r="28" spans="1:10" x14ac:dyDescent="0.25">
      <c r="A28" s="229">
        <v>23</v>
      </c>
      <c r="B28" s="241">
        <f t="shared" si="5"/>
        <v>1.42</v>
      </c>
      <c r="C28" s="241">
        <f t="shared" si="4"/>
        <v>0.14000000000000001</v>
      </c>
      <c r="D28" s="242">
        <v>1.56</v>
      </c>
      <c r="E28" s="243">
        <v>300</v>
      </c>
      <c r="F28" s="241">
        <f t="shared" si="0"/>
        <v>425.45</v>
      </c>
      <c r="G28" s="241">
        <f t="shared" si="1"/>
        <v>42.55</v>
      </c>
      <c r="H28" s="241">
        <f t="shared" si="2"/>
        <v>468</v>
      </c>
      <c r="I28" s="239">
        <f t="shared" si="3"/>
        <v>3.333333333333333</v>
      </c>
      <c r="J28" s="244">
        <v>0.1</v>
      </c>
    </row>
    <row r="29" spans="1:10" x14ac:dyDescent="0.25">
      <c r="A29" s="229">
        <v>24</v>
      </c>
      <c r="B29" s="241">
        <f t="shared" si="5"/>
        <v>0.42000000000000004</v>
      </c>
      <c r="C29" s="241">
        <f t="shared" si="4"/>
        <v>0.04</v>
      </c>
      <c r="D29" s="242">
        <v>0.46</v>
      </c>
      <c r="E29" s="243">
        <v>37500</v>
      </c>
      <c r="F29" s="241">
        <f t="shared" si="0"/>
        <v>15681.82</v>
      </c>
      <c r="G29" s="241">
        <f t="shared" si="1"/>
        <v>1568.18</v>
      </c>
      <c r="H29" s="241">
        <f t="shared" si="2"/>
        <v>17250</v>
      </c>
      <c r="I29" s="239">
        <f t="shared" si="3"/>
        <v>416.66666666666663</v>
      </c>
      <c r="J29" s="244">
        <v>0.1</v>
      </c>
    </row>
    <row r="30" spans="1:10" x14ac:dyDescent="0.25">
      <c r="A30" s="229">
        <v>25</v>
      </c>
      <c r="B30" s="241">
        <f t="shared" si="5"/>
        <v>1.1499999999999999</v>
      </c>
      <c r="C30" s="241">
        <f t="shared" si="4"/>
        <v>0.12</v>
      </c>
      <c r="D30" s="242">
        <v>1.27</v>
      </c>
      <c r="E30" s="243">
        <v>250</v>
      </c>
      <c r="F30" s="241">
        <f t="shared" si="0"/>
        <v>288.64</v>
      </c>
      <c r="G30" s="241">
        <f t="shared" si="1"/>
        <v>28.86</v>
      </c>
      <c r="H30" s="241">
        <f t="shared" si="2"/>
        <v>317.5</v>
      </c>
      <c r="I30" s="239">
        <f t="shared" si="3"/>
        <v>2.7777777777777777</v>
      </c>
      <c r="J30" s="244">
        <v>0.1</v>
      </c>
    </row>
    <row r="31" spans="1:10" x14ac:dyDescent="0.25">
      <c r="A31" s="229">
        <v>26</v>
      </c>
      <c r="B31" s="241">
        <f t="shared" si="5"/>
        <v>28.68</v>
      </c>
      <c r="C31" s="241">
        <f t="shared" si="4"/>
        <v>2.87</v>
      </c>
      <c r="D31" s="242">
        <v>31.55</v>
      </c>
      <c r="E31" s="243">
        <v>600</v>
      </c>
      <c r="F31" s="241">
        <f t="shared" si="0"/>
        <v>17209.09</v>
      </c>
      <c r="G31" s="241">
        <f t="shared" si="1"/>
        <v>1720.91</v>
      </c>
      <c r="H31" s="241">
        <f t="shared" si="2"/>
        <v>18930</v>
      </c>
      <c r="I31" s="239">
        <f t="shared" si="3"/>
        <v>6.6666666666666661</v>
      </c>
      <c r="J31" s="244">
        <v>0.1</v>
      </c>
    </row>
    <row r="32" spans="1:10" x14ac:dyDescent="0.25">
      <c r="A32" s="229">
        <v>27</v>
      </c>
      <c r="B32" s="241">
        <f t="shared" si="5"/>
        <v>0.13</v>
      </c>
      <c r="C32" s="241">
        <f t="shared" si="4"/>
        <v>0.01</v>
      </c>
      <c r="D32" s="242">
        <v>0.14000000000000001</v>
      </c>
      <c r="E32" s="243">
        <v>15000</v>
      </c>
      <c r="F32" s="241">
        <f t="shared" si="0"/>
        <v>1909.09</v>
      </c>
      <c r="G32" s="241">
        <f t="shared" si="1"/>
        <v>190.91</v>
      </c>
      <c r="H32" s="241">
        <f t="shared" si="2"/>
        <v>2100</v>
      </c>
      <c r="I32" s="239">
        <f t="shared" si="3"/>
        <v>166.66666666666669</v>
      </c>
      <c r="J32" s="244">
        <v>0.1</v>
      </c>
    </row>
    <row r="33" spans="1:11" x14ac:dyDescent="0.25">
      <c r="A33" s="229">
        <v>28</v>
      </c>
      <c r="B33" s="241">
        <f t="shared" ref="B33:B34" si="6">D33-C33</f>
        <v>0.16</v>
      </c>
      <c r="C33" s="241">
        <f t="shared" ref="C33:C34" si="7">ROUND(D33*$B$2/(1+$B$2),2)</f>
        <v>0.02</v>
      </c>
      <c r="D33" s="242">
        <v>0.18</v>
      </c>
      <c r="E33" s="243">
        <v>40000</v>
      </c>
      <c r="F33" s="241">
        <f t="shared" ref="F33:F34" si="8">H33-G33</f>
        <v>6545.45</v>
      </c>
      <c r="G33" s="241">
        <f t="shared" ref="G33:G34" si="9">ROUND(H33*$J33/(1+$J33),2)</f>
        <v>654.54999999999995</v>
      </c>
      <c r="H33" s="241">
        <f t="shared" ref="H33:H34" si="10">D33*E33</f>
        <v>7200</v>
      </c>
      <c r="I33" s="239">
        <f t="shared" ref="I33:I34" si="11">E33/$I$2/$I$1</f>
        <v>444.44444444444446</v>
      </c>
      <c r="J33" s="244">
        <v>0.1</v>
      </c>
    </row>
    <row r="34" spans="1:11" x14ac:dyDescent="0.25">
      <c r="A34" s="229">
        <v>29</v>
      </c>
      <c r="B34" s="241">
        <f t="shared" si="6"/>
        <v>33.33</v>
      </c>
      <c r="C34" s="241">
        <f t="shared" si="7"/>
        <v>3.33</v>
      </c>
      <c r="D34" s="242">
        <v>36.659999999999997</v>
      </c>
      <c r="E34" s="243">
        <v>30</v>
      </c>
      <c r="F34" s="241">
        <f t="shared" si="8"/>
        <v>999.81999999999994</v>
      </c>
      <c r="G34" s="241">
        <f t="shared" si="9"/>
        <v>99.98</v>
      </c>
      <c r="H34" s="241">
        <f t="shared" si="10"/>
        <v>1099.8</v>
      </c>
      <c r="I34" s="239">
        <f t="shared" si="11"/>
        <v>0.33333333333333337</v>
      </c>
      <c r="J34" s="244">
        <v>0.1</v>
      </c>
    </row>
    <row r="35" spans="1:11" x14ac:dyDescent="0.25">
      <c r="A35" s="229">
        <v>30</v>
      </c>
      <c r="B35" s="241">
        <f t="shared" ref="B35" si="12">D35-C35</f>
        <v>3.02</v>
      </c>
      <c r="C35" s="241">
        <f t="shared" ref="C35" si="13">ROUND(D35*$B$2/(1+$B$2),2)</f>
        <v>0.3</v>
      </c>
      <c r="D35" s="242">
        <v>3.32</v>
      </c>
      <c r="E35" s="243">
        <v>750</v>
      </c>
      <c r="F35" s="241">
        <f t="shared" ref="F35" si="14">H35-G35</f>
        <v>2263.64</v>
      </c>
      <c r="G35" s="241">
        <f t="shared" ref="G35" si="15">ROUND(H35*$J35/(1+$J35),2)</f>
        <v>226.36</v>
      </c>
      <c r="H35" s="241">
        <f t="shared" ref="H35" si="16">D35*E35</f>
        <v>2490</v>
      </c>
      <c r="I35" s="239">
        <f t="shared" ref="I35" si="17">E35/$I$2/$I$1</f>
        <v>8.3333333333333321</v>
      </c>
      <c r="J35" s="244">
        <v>0.1</v>
      </c>
    </row>
    <row r="36" spans="1:11" x14ac:dyDescent="0.25">
      <c r="A36" s="229">
        <v>31</v>
      </c>
      <c r="B36" s="241">
        <f t="shared" si="5"/>
        <v>7.7200000000000006</v>
      </c>
      <c r="C36" s="241">
        <f t="shared" si="4"/>
        <v>0.77</v>
      </c>
      <c r="D36" s="242">
        <v>8.49</v>
      </c>
      <c r="E36" s="243">
        <v>100</v>
      </c>
      <c r="F36" s="241">
        <f t="shared" si="0"/>
        <v>771.81999999999994</v>
      </c>
      <c r="G36" s="241">
        <f t="shared" si="1"/>
        <v>77.180000000000007</v>
      </c>
      <c r="H36" s="241">
        <f t="shared" si="2"/>
        <v>849</v>
      </c>
      <c r="I36" s="239">
        <f t="shared" si="3"/>
        <v>1.1111111111111112</v>
      </c>
      <c r="J36" s="244">
        <v>0.1</v>
      </c>
    </row>
    <row r="37" spans="1:11" x14ac:dyDescent="0.25">
      <c r="B37" s="237"/>
      <c r="C37" s="241">
        <f t="shared" ref="C37" si="18">D37*$B$2/(1+$B$2)</f>
        <v>0</v>
      </c>
      <c r="D37" s="237"/>
      <c r="E37" s="237">
        <f>SUM(E6:E36)</f>
        <v>100030</v>
      </c>
      <c r="F37" s="246">
        <f>SUM(F6:F36)</f>
        <v>87752.8</v>
      </c>
      <c r="G37" s="246">
        <f>SUM(G6:G36)</f>
        <v>8775.3000000000011</v>
      </c>
      <c r="H37" s="246">
        <f>SUM(H6:H36)</f>
        <v>96528.1</v>
      </c>
      <c r="I37" s="237">
        <f>SUM(I6:I36)</f>
        <v>1111.4444444444441</v>
      </c>
      <c r="J37" s="244">
        <v>0.1</v>
      </c>
      <c r="K37" s="240">
        <f>H37*$J$37/(1+$J$37)</f>
        <v>8775.2818181818184</v>
      </c>
    </row>
    <row r="38" spans="1:11" x14ac:dyDescent="0.25">
      <c r="C38" s="247"/>
      <c r="F38" s="235"/>
      <c r="G38" s="245"/>
      <c r="H38" s="248">
        <f>[1]Лист1!J31</f>
        <v>173770</v>
      </c>
    </row>
    <row r="39" spans="1:11" x14ac:dyDescent="0.25">
      <c r="F39" s="245"/>
      <c r="H39" s="245">
        <f>H37-F37</f>
        <v>8775.3000000000029</v>
      </c>
    </row>
    <row r="40" spans="1:11" x14ac:dyDescent="0.25">
      <c r="G40" s="245"/>
      <c r="H40" s="249"/>
      <c r="K40" s="230"/>
    </row>
    <row r="42" spans="1:11" x14ac:dyDescent="0.25">
      <c r="E42" s="245"/>
    </row>
    <row r="50" spans="5:6" x14ac:dyDescent="0.25">
      <c r="E50" s="250"/>
      <c r="F50" s="250"/>
    </row>
    <row r="51" spans="5:6" x14ac:dyDescent="0.25">
      <c r="E51" s="250"/>
      <c r="F51" s="250"/>
    </row>
    <row r="52" spans="5:6" x14ac:dyDescent="0.25">
      <c r="E52" s="250"/>
      <c r="F52" s="250"/>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AE47"/>
  <sheetViews>
    <sheetView tabSelected="1" zoomScaleNormal="100" workbookViewId="0">
      <pane xSplit="4" ySplit="7" topLeftCell="E33" activePane="bottomRight" state="frozen"/>
      <selection pane="topRight" activeCell="E1" sqref="E1"/>
      <selection pane="bottomLeft" activeCell="A8" sqref="A8"/>
      <selection pane="bottomRight" activeCell="Q40" sqref="Q40"/>
    </sheetView>
  </sheetViews>
  <sheetFormatPr defaultColWidth="9.140625" defaultRowHeight="15.75" x14ac:dyDescent="0.25"/>
  <cols>
    <col min="1" max="1" width="5.28515625" style="1" hidden="1" customWidth="1"/>
    <col min="2" max="2" width="3.42578125" style="127" hidden="1" customWidth="1"/>
    <col min="3" max="3" width="3.42578125" style="1" customWidth="1"/>
    <col min="4" max="4" width="34.85546875" style="2" customWidth="1"/>
    <col min="5" max="5" width="10" style="2" customWidth="1"/>
    <col min="6" max="6" width="10.28515625" style="1" customWidth="1"/>
    <col min="7" max="7" width="10.5703125" style="52" customWidth="1"/>
    <col min="8" max="8" width="5.5703125" style="330" customWidth="1"/>
    <col min="9" max="9" width="10.28515625" style="1" customWidth="1"/>
    <col min="10" max="10" width="10.85546875" style="1" customWidth="1"/>
    <col min="11" max="12" width="11.85546875" style="1" hidden="1" customWidth="1"/>
    <col min="13" max="13" width="7.140625" style="1" hidden="1" customWidth="1"/>
    <col min="14" max="14" width="106.85546875" style="1" hidden="1" customWidth="1"/>
    <col min="15" max="15" width="10.28515625" style="1" customWidth="1"/>
    <col min="16" max="16" width="10.7109375" style="186" customWidth="1"/>
    <col min="17" max="17" width="14.42578125" style="1" customWidth="1"/>
    <col min="18" max="18" width="8.140625" style="1" customWidth="1"/>
    <col min="19" max="19" width="8.140625" style="42" customWidth="1"/>
    <col min="20" max="20" width="11.85546875" style="1" customWidth="1"/>
    <col min="21" max="21" width="5.5703125" style="1" customWidth="1"/>
    <col min="22" max="22" width="10.85546875" style="1" customWidth="1"/>
    <col min="23" max="23" width="7.140625" style="1" customWidth="1"/>
    <col min="24" max="24" width="8.140625" style="1" customWidth="1"/>
    <col min="25" max="25" width="8.7109375" style="42" customWidth="1"/>
    <col min="26" max="26" width="12.5703125" style="5" hidden="1" customWidth="1"/>
    <col min="27" max="27" width="5.5703125" style="5" hidden="1" customWidth="1"/>
    <col min="28" max="28" width="11.140625" style="5" hidden="1" customWidth="1"/>
    <col min="29" max="29" width="7.42578125" style="3" hidden="1" customWidth="1"/>
    <col min="30" max="30" width="8.7109375" style="6" hidden="1" customWidth="1"/>
    <col min="31" max="31" width="9" style="11" hidden="1" customWidth="1"/>
    <col min="32" max="32" width="9.140625" style="1"/>
    <col min="33" max="33" width="9.42578125" style="1" customWidth="1"/>
    <col min="34" max="34" width="8.28515625" style="1" customWidth="1"/>
    <col min="35" max="35" width="6.7109375" style="1" customWidth="1"/>
    <col min="36" max="36" width="13.85546875" style="1" customWidth="1"/>
    <col min="37" max="37" width="13.85546875" style="1" bestFit="1" customWidth="1"/>
    <col min="38" max="38" width="16.7109375" style="1" customWidth="1"/>
    <col min="39" max="39" width="14.85546875" style="1" customWidth="1"/>
    <col min="40" max="16384" width="9.140625" style="1"/>
  </cols>
  <sheetData>
    <row r="1" spans="2:31" ht="15" x14ac:dyDescent="0.2">
      <c r="B1" s="1"/>
      <c r="C1" s="139" t="s">
        <v>45</v>
      </c>
      <c r="D1" s="139"/>
      <c r="E1" s="139"/>
      <c r="F1" s="139"/>
      <c r="G1" s="139"/>
      <c r="H1" s="326"/>
      <c r="I1" s="139"/>
      <c r="J1" s="139"/>
      <c r="K1" s="139"/>
      <c r="L1" s="139"/>
      <c r="M1" s="139"/>
      <c r="N1" s="139"/>
      <c r="O1" s="17"/>
      <c r="P1" s="264"/>
      <c r="Q1" s="17"/>
      <c r="R1" s="17"/>
      <c r="S1" s="17"/>
      <c r="T1" s="17"/>
      <c r="U1" s="17"/>
      <c r="V1" s="17"/>
      <c r="W1" s="17"/>
      <c r="X1" s="17"/>
      <c r="Y1" s="17"/>
      <c r="Z1" s="18"/>
      <c r="AA1" s="18"/>
      <c r="AB1" s="18"/>
      <c r="AC1" s="17"/>
      <c r="AD1" s="19"/>
      <c r="AE1" s="12"/>
    </row>
    <row r="2" spans="2:31" x14ac:dyDescent="0.25">
      <c r="B2" s="1"/>
      <c r="C2" s="150"/>
      <c r="D2" s="221"/>
      <c r="E2" s="5"/>
      <c r="F2" s="5"/>
      <c r="G2" s="139"/>
      <c r="H2" s="327"/>
      <c r="I2" s="5"/>
      <c r="J2" s="5"/>
      <c r="K2" s="5"/>
      <c r="L2" s="5"/>
      <c r="M2" s="5"/>
      <c r="N2" s="5"/>
      <c r="O2" s="17"/>
      <c r="P2" s="264"/>
      <c r="Q2" s="17"/>
      <c r="R2" s="17"/>
      <c r="S2" s="17"/>
      <c r="T2" s="17"/>
      <c r="U2" s="17"/>
      <c r="V2" s="17"/>
      <c r="W2" s="17"/>
      <c r="X2" s="17"/>
      <c r="Y2" s="17"/>
      <c r="Z2" s="18"/>
      <c r="AA2" s="18"/>
      <c r="AB2" s="18"/>
      <c r="AC2" s="17"/>
      <c r="AD2" s="19"/>
      <c r="AE2" s="12"/>
    </row>
    <row r="3" spans="2:31" ht="15" x14ac:dyDescent="0.2">
      <c r="B3" s="1"/>
      <c r="C3" s="5" t="s">
        <v>46</v>
      </c>
      <c r="D3" s="5"/>
      <c r="E3" s="5"/>
      <c r="F3" s="5"/>
      <c r="G3" s="5"/>
      <c r="H3" s="327"/>
      <c r="I3" s="5"/>
      <c r="J3" s="5"/>
      <c r="K3" s="5"/>
      <c r="L3" s="5"/>
      <c r="M3" s="5"/>
      <c r="N3" s="5"/>
      <c r="O3" s="17"/>
      <c r="P3" s="264"/>
      <c r="Q3" s="17"/>
      <c r="R3" s="17"/>
      <c r="S3" s="17"/>
      <c r="T3" s="17"/>
      <c r="U3" s="17"/>
      <c r="V3" s="17"/>
      <c r="W3" s="17"/>
      <c r="X3" s="17"/>
      <c r="Y3" s="17"/>
      <c r="Z3" s="18"/>
      <c r="AA3" s="18"/>
      <c r="AB3" s="18"/>
      <c r="AC3" s="17"/>
      <c r="AD3" s="19"/>
      <c r="AE3" s="12"/>
    </row>
    <row r="4" spans="2:31" ht="15" x14ac:dyDescent="0.2">
      <c r="B4" s="1"/>
      <c r="C4" s="5" t="s">
        <v>304</v>
      </c>
      <c r="D4" s="5"/>
      <c r="E4" s="5"/>
      <c r="F4" s="5"/>
      <c r="G4" s="5"/>
      <c r="H4" s="327"/>
      <c r="I4" s="5"/>
      <c r="J4" s="5"/>
      <c r="K4" s="5"/>
      <c r="L4" s="5"/>
      <c r="M4" s="5"/>
      <c r="N4" s="5"/>
      <c r="O4" s="17"/>
      <c r="P4" s="264"/>
      <c r="Q4" s="17"/>
      <c r="R4" s="17"/>
      <c r="S4" s="17"/>
      <c r="T4" s="17"/>
      <c r="U4" s="17"/>
      <c r="V4" s="17"/>
      <c r="W4" s="17"/>
      <c r="X4" s="17"/>
      <c r="Y4" s="17"/>
      <c r="Z4" s="18"/>
      <c r="AA4" s="18"/>
      <c r="AB4" s="18"/>
      <c r="AC4" s="17"/>
      <c r="AD4" s="19"/>
      <c r="AE4" s="12"/>
    </row>
    <row r="5" spans="2:31" ht="15" x14ac:dyDescent="0.2">
      <c r="B5" s="1"/>
      <c r="C5" s="5" t="s">
        <v>47</v>
      </c>
      <c r="D5" s="5"/>
      <c r="E5" s="5"/>
      <c r="F5" s="5"/>
      <c r="G5" s="5"/>
      <c r="H5" s="327"/>
      <c r="I5" s="5"/>
      <c r="J5" s="5"/>
      <c r="K5" s="5"/>
      <c r="L5" s="5"/>
      <c r="M5" s="5"/>
      <c r="N5" s="5"/>
      <c r="O5" s="17"/>
      <c r="P5" s="264"/>
      <c r="Q5" s="17"/>
      <c r="R5" s="17"/>
      <c r="S5" s="17"/>
      <c r="T5" s="17"/>
      <c r="U5" s="17"/>
      <c r="V5" s="17"/>
      <c r="W5" s="17"/>
      <c r="X5" s="17"/>
      <c r="Y5" s="17"/>
      <c r="Z5" s="18"/>
      <c r="AA5" s="18"/>
      <c r="AB5" s="18"/>
      <c r="AC5" s="17"/>
      <c r="AD5" s="19"/>
      <c r="AE5" s="12"/>
    </row>
    <row r="6" spans="2:31" s="184" customFormat="1" x14ac:dyDescent="0.25">
      <c r="B6" s="178"/>
      <c r="C6" s="179" t="s">
        <v>305</v>
      </c>
      <c r="D6" s="222" t="s">
        <v>302</v>
      </c>
      <c r="E6" s="179"/>
      <c r="F6" s="179"/>
      <c r="G6" s="223"/>
      <c r="H6" s="328"/>
      <c r="I6" s="179"/>
      <c r="J6" s="179"/>
      <c r="K6" s="179"/>
      <c r="L6" s="179"/>
      <c r="M6" s="179"/>
      <c r="N6" s="325"/>
      <c r="O6" s="179"/>
      <c r="P6" s="265"/>
      <c r="Q6" s="179"/>
      <c r="R6" s="180"/>
      <c r="S6" s="180"/>
      <c r="T6" s="180"/>
      <c r="U6" s="180"/>
      <c r="V6" s="180"/>
      <c r="W6" s="180"/>
      <c r="X6" s="180"/>
      <c r="Y6" s="180"/>
      <c r="Z6" s="181"/>
      <c r="AA6" s="181"/>
      <c r="AB6" s="181"/>
      <c r="AC6" s="180"/>
      <c r="AD6" s="182"/>
      <c r="AE6" s="183"/>
    </row>
    <row r="7" spans="2:31" s="151" customFormat="1" ht="94.5" x14ac:dyDescent="0.25">
      <c r="B7" s="147" t="s">
        <v>48</v>
      </c>
      <c r="C7" s="147"/>
      <c r="D7" s="147" t="s">
        <v>38</v>
      </c>
      <c r="E7" s="147" t="s">
        <v>303</v>
      </c>
      <c r="F7" s="147" t="s">
        <v>53</v>
      </c>
      <c r="G7" s="147" t="s">
        <v>332</v>
      </c>
      <c r="H7" s="147" t="s">
        <v>34</v>
      </c>
      <c r="I7" s="147" t="s">
        <v>49</v>
      </c>
      <c r="J7" s="147" t="s">
        <v>50</v>
      </c>
      <c r="K7" s="152" t="s">
        <v>113</v>
      </c>
      <c r="L7" s="153" t="s">
        <v>142</v>
      </c>
      <c r="M7" s="153" t="s">
        <v>331</v>
      </c>
      <c r="P7" s="266"/>
      <c r="Z7" s="154"/>
      <c r="AA7" s="154"/>
      <c r="AB7" s="154"/>
      <c r="AD7" s="155"/>
      <c r="AE7" s="156"/>
    </row>
    <row r="8" spans="2:31" s="7" customFormat="1" x14ac:dyDescent="0.25">
      <c r="B8" s="125">
        <v>1</v>
      </c>
      <c r="C8" s="28">
        <v>1</v>
      </c>
      <c r="D8" s="224" t="str">
        <f>VLOOKUP($B8,'Свод '!$B$4:$G$160,3,0)</f>
        <v>Папаверина гидрохлорид 2 % 2 мл №10</v>
      </c>
      <c r="E8" s="225">
        <f>VLOOKUP($B8,'Свод '!$B$4:$G$160,6,0)</f>
        <v>6.68</v>
      </c>
      <c r="F8" s="225">
        <f t="shared" ref="F8:F38" si="0">ROUND(E8*10%,2)</f>
        <v>0.67</v>
      </c>
      <c r="G8" s="226">
        <f t="shared" ref="G8:G38" si="1">ROUND(E8+F8,2)</f>
        <v>7.35</v>
      </c>
      <c r="H8" s="227" t="str">
        <f>VLOOKUP(B8,'Анализ рынка'!$1:$1048576,12,0)</f>
        <v>мл</v>
      </c>
      <c r="I8" s="136">
        <f>VLOOKUP(B8,'Анализ рынка'!$1:$1048576,35,0)</f>
        <v>200</v>
      </c>
      <c r="J8" s="137">
        <f t="shared" ref="J8:J38" si="2">G8*I8</f>
        <v>1470</v>
      </c>
      <c r="K8" s="140">
        <v>7.35</v>
      </c>
      <c r="L8" s="224" t="str">
        <f>VLOOKUP($B8,'Спецификация 25'!$A:$J,4,0)</f>
        <v>21.20.10.113</v>
      </c>
      <c r="M8" s="44">
        <v>8</v>
      </c>
      <c r="N8" s="7" t="s">
        <v>433</v>
      </c>
      <c r="O8" s="185"/>
      <c r="P8" s="267"/>
      <c r="Q8" s="187"/>
      <c r="R8" s="1"/>
      <c r="S8" s="42"/>
      <c r="T8" s="1"/>
      <c r="U8" s="1"/>
      <c r="V8" s="1"/>
      <c r="W8" s="1"/>
      <c r="X8" s="1"/>
      <c r="Y8" s="42"/>
      <c r="Z8" s="4"/>
      <c r="AA8" s="4"/>
      <c r="AB8" s="4"/>
      <c r="AC8" s="3"/>
      <c r="AD8" s="6"/>
      <c r="AE8" s="11"/>
    </row>
    <row r="9" spans="2:31" x14ac:dyDescent="0.25">
      <c r="B9" s="125">
        <v>2</v>
      </c>
      <c r="C9" s="28">
        <v>2</v>
      </c>
      <c r="D9" s="224" t="str">
        <f>VLOOKUP($B9,'Свод '!$B$4:$G$160,3,0)</f>
        <v>Анальгин 50 % 2 мл №10</v>
      </c>
      <c r="E9" s="225">
        <f>VLOOKUP($B9,'Свод '!$B$4:$G$160,6,0)</f>
        <v>5.14</v>
      </c>
      <c r="F9" s="225">
        <f t="shared" si="0"/>
        <v>0.51</v>
      </c>
      <c r="G9" s="226">
        <f t="shared" si="1"/>
        <v>5.65</v>
      </c>
      <c r="H9" s="227" t="str">
        <f>VLOOKUP(B9,'Анализ рынка'!$1:$1048576,12,0)</f>
        <v>мл</v>
      </c>
      <c r="I9" s="228">
        <f>VLOOKUP(B9,'Анализ рынка'!$1:$1048576,35,0)</f>
        <v>100</v>
      </c>
      <c r="J9" s="137">
        <f t="shared" si="2"/>
        <v>565</v>
      </c>
      <c r="K9" s="140">
        <v>5.65</v>
      </c>
      <c r="L9" s="224" t="str">
        <f>VLOOKUP($B9,'Спецификация 25'!$A:$J,4,0)</f>
        <v>21.20.10.232</v>
      </c>
      <c r="M9" s="44">
        <v>8</v>
      </c>
      <c r="N9" s="1" t="s">
        <v>459</v>
      </c>
      <c r="O9" s="185"/>
      <c r="P9" s="268"/>
      <c r="Q9" s="187"/>
    </row>
    <row r="10" spans="2:31" x14ac:dyDescent="0.25">
      <c r="B10" s="125">
        <v>3</v>
      </c>
      <c r="C10" s="28">
        <v>3</v>
      </c>
      <c r="D10" s="224" t="str">
        <f>VLOOKUP($B10,'Свод '!$B$4:$G$160,3,0)</f>
        <v>Дибазол 1% 1 мл №10</v>
      </c>
      <c r="E10" s="225">
        <f>VLOOKUP($B10,'Свод '!$B$4:$G$160,6,0)</f>
        <v>7.63</v>
      </c>
      <c r="F10" s="225">
        <f t="shared" si="0"/>
        <v>0.76</v>
      </c>
      <c r="G10" s="226">
        <f t="shared" si="1"/>
        <v>8.39</v>
      </c>
      <c r="H10" s="227" t="str">
        <f>VLOOKUP(B10,'Анализ рынка'!$1:$1048576,12,0)</f>
        <v>мл</v>
      </c>
      <c r="I10" s="228">
        <f>VLOOKUP(B10,'Анализ рынка'!$1:$1048576,35,0)</f>
        <v>70</v>
      </c>
      <c r="J10" s="137">
        <f t="shared" si="2"/>
        <v>587.30000000000007</v>
      </c>
      <c r="K10" s="140">
        <v>8.39</v>
      </c>
      <c r="L10" s="224" t="str">
        <f>VLOOKUP($B10,'Спецификация 25'!$A:$J,4,0)</f>
        <v>21.20.10.144</v>
      </c>
      <c r="M10" s="44">
        <v>8</v>
      </c>
      <c r="N10" s="1" t="s">
        <v>453</v>
      </c>
      <c r="O10" s="185"/>
      <c r="P10" s="268"/>
      <c r="Q10" s="187"/>
    </row>
    <row r="11" spans="2:31" x14ac:dyDescent="0.25">
      <c r="B11" s="125">
        <v>4</v>
      </c>
      <c r="C11" s="28">
        <v>4</v>
      </c>
      <c r="D11" s="224" t="str">
        <f>VLOOKUP($B11,'Свод '!$B$4:$G$160,3,0)</f>
        <v>Димедрол 1% 1 мл №10</v>
      </c>
      <c r="E11" s="225">
        <f>VLOOKUP($B11,'Свод '!$B$4:$G$160,6,0)</f>
        <v>6.36</v>
      </c>
      <c r="F11" s="225">
        <f t="shared" si="0"/>
        <v>0.64</v>
      </c>
      <c r="G11" s="226">
        <f t="shared" si="1"/>
        <v>7</v>
      </c>
      <c r="H11" s="227" t="str">
        <f>VLOOKUP(B11,'Анализ рынка'!$1:$1048576,12,0)</f>
        <v>мл</v>
      </c>
      <c r="I11" s="228">
        <f>VLOOKUP(B11,'Анализ рынка'!$1:$1048576,35,0)</f>
        <v>50</v>
      </c>
      <c r="J11" s="137">
        <f t="shared" si="2"/>
        <v>350</v>
      </c>
      <c r="K11" s="140">
        <v>7</v>
      </c>
      <c r="L11" s="224" t="str">
        <f>VLOOKUP($B11,'Спецификация 25'!$A:$J,4,0)</f>
        <v>21.20.10.256</v>
      </c>
      <c r="M11" s="44">
        <v>8</v>
      </c>
      <c r="N11" s="1" t="s">
        <v>454</v>
      </c>
      <c r="O11" s="185"/>
      <c r="P11" s="268"/>
      <c r="Q11" s="187"/>
    </row>
    <row r="12" spans="2:31" x14ac:dyDescent="0.25">
      <c r="B12" s="125">
        <v>6</v>
      </c>
      <c r="C12" s="28">
        <v>5</v>
      </c>
      <c r="D12" s="224" t="str">
        <f>VLOOKUP($B12,'Свод '!$B$4:$G$160,3,0)</f>
        <v>Адреналина гидрохлорид 0,1% 1 мл №5</v>
      </c>
      <c r="E12" s="225">
        <f>VLOOKUP($B12,'Свод '!$B$4:$G$160,6,0)</f>
        <v>23.54</v>
      </c>
      <c r="F12" s="225">
        <f t="shared" si="0"/>
        <v>2.35</v>
      </c>
      <c r="G12" s="226">
        <f t="shared" si="1"/>
        <v>25.89</v>
      </c>
      <c r="H12" s="227" t="str">
        <f>VLOOKUP(B12,'Анализ рынка'!$1:$1048576,12,0)</f>
        <v>мл</v>
      </c>
      <c r="I12" s="228">
        <f>VLOOKUP(B12,'Анализ рынка'!$1:$1048576,35,0)</f>
        <v>1150</v>
      </c>
      <c r="J12" s="137">
        <f t="shared" si="2"/>
        <v>29773.5</v>
      </c>
      <c r="K12" s="140">
        <v>9.58</v>
      </c>
      <c r="L12" s="224" t="str">
        <f>VLOOKUP($B12,'Спецификация 25'!$A:$J,4,0)</f>
        <v>21.20.10.141</v>
      </c>
      <c r="M12" s="44">
        <v>8</v>
      </c>
      <c r="N12" s="1" t="s">
        <v>455</v>
      </c>
      <c r="O12" s="185"/>
      <c r="P12" s="268"/>
      <c r="Q12" s="187"/>
    </row>
    <row r="13" spans="2:31" x14ac:dyDescent="0.25">
      <c r="B13" s="125">
        <v>7</v>
      </c>
      <c r="C13" s="28">
        <v>6</v>
      </c>
      <c r="D13" s="224" t="str">
        <f>VLOOKUP($B13,'Свод '!$B$4:$G$160,3,0)</f>
        <v>Фуросемид 1% 2 мл 10</v>
      </c>
      <c r="E13" s="225">
        <f>VLOOKUP($B13,'Свод '!$B$4:$G$160,6,0)</f>
        <v>3.95</v>
      </c>
      <c r="F13" s="225">
        <f t="shared" si="0"/>
        <v>0.4</v>
      </c>
      <c r="G13" s="226">
        <f t="shared" si="1"/>
        <v>4.3499999999999996</v>
      </c>
      <c r="H13" s="227" t="str">
        <f>VLOOKUP(B13,'Анализ рынка'!$1:$1048576,12,0)</f>
        <v>мл</v>
      </c>
      <c r="I13" s="228">
        <f>VLOOKUP(B13,'Анализ рынка'!$1:$1048576,35,0)</f>
        <v>120</v>
      </c>
      <c r="J13" s="137">
        <f t="shared" si="2"/>
        <v>522</v>
      </c>
      <c r="K13" s="140">
        <v>0.79</v>
      </c>
      <c r="L13" s="224" t="str">
        <f>VLOOKUP($B13,'Спецификация 25'!$A:$J,4,0)</f>
        <v>21.20.10.143</v>
      </c>
      <c r="M13" s="44">
        <v>8</v>
      </c>
      <c r="N13" s="1" t="s">
        <v>434</v>
      </c>
      <c r="O13" s="185"/>
      <c r="P13" s="268"/>
      <c r="Q13" s="187"/>
    </row>
    <row r="14" spans="2:31" x14ac:dyDescent="0.25">
      <c r="B14" s="125">
        <v>8</v>
      </c>
      <c r="C14" s="28">
        <v>7</v>
      </c>
      <c r="D14" s="224" t="str">
        <f>VLOOKUP($B14,'Свод '!$B$4:$G$160,3,0)</f>
        <v>Эуфиллин 2,4% 5 мл №10</v>
      </c>
      <c r="E14" s="225">
        <f>VLOOKUP($B14,'Свод '!$B$4:$G$160,6,0)</f>
        <v>1.81</v>
      </c>
      <c r="F14" s="225">
        <f t="shared" si="0"/>
        <v>0.18</v>
      </c>
      <c r="G14" s="226">
        <f t="shared" si="1"/>
        <v>1.99</v>
      </c>
      <c r="H14" s="227" t="str">
        <f>VLOOKUP(B14,'Анализ рынка'!$1:$1048576,12,0)</f>
        <v>мл</v>
      </c>
      <c r="I14" s="228">
        <f>VLOOKUP(B14,'Анализ рынка'!$1:$1048576,35,0)</f>
        <v>300</v>
      </c>
      <c r="J14" s="137">
        <f t="shared" si="2"/>
        <v>597</v>
      </c>
      <c r="K14" s="140">
        <v>0.44</v>
      </c>
      <c r="L14" s="224" t="str">
        <f>VLOOKUP($B14,'Спецификация 25'!$A:$J,4,0)</f>
        <v>21.20.10.254</v>
      </c>
      <c r="M14" s="44">
        <v>8</v>
      </c>
      <c r="N14" s="1" t="s">
        <v>456</v>
      </c>
      <c r="O14" s="185"/>
      <c r="P14" s="268"/>
      <c r="Q14" s="187"/>
    </row>
    <row r="15" spans="2:31" x14ac:dyDescent="0.25">
      <c r="B15" s="125">
        <v>9</v>
      </c>
      <c r="C15" s="28">
        <v>8</v>
      </c>
      <c r="D15" s="224" t="str">
        <f>VLOOKUP($B15,'Свод '!$B$4:$G$160,3,0)</f>
        <v>Пустырника настойка 25 мл</v>
      </c>
      <c r="E15" s="225">
        <f>VLOOKUP($B15,'Свод '!$B$4:$G$160,6,0)</f>
        <v>1.8</v>
      </c>
      <c r="F15" s="225">
        <f t="shared" si="0"/>
        <v>0.18</v>
      </c>
      <c r="G15" s="226">
        <f t="shared" si="1"/>
        <v>1.98</v>
      </c>
      <c r="H15" s="227" t="str">
        <f>VLOOKUP(B15,'Анализ рынка'!$1:$1048576,12,0)</f>
        <v>мл</v>
      </c>
      <c r="I15" s="228">
        <f>VLOOKUP(B15,'Анализ рынка'!$1:$1048576,35,0)</f>
        <v>500</v>
      </c>
      <c r="J15" s="137">
        <f t="shared" si="2"/>
        <v>990</v>
      </c>
      <c r="K15" s="140">
        <v>1.98</v>
      </c>
      <c r="L15" s="224" t="str">
        <f>VLOOKUP($B15,'Спецификация 25'!$A:$J,4,0)</f>
        <v>21.20.10.235</v>
      </c>
      <c r="M15" s="44">
        <v>8</v>
      </c>
      <c r="N15" s="1" t="s">
        <v>435</v>
      </c>
      <c r="O15" s="185"/>
      <c r="P15" s="268"/>
      <c r="Q15" s="187"/>
    </row>
    <row r="16" spans="2:31" x14ac:dyDescent="0.25">
      <c r="B16" s="125">
        <v>10</v>
      </c>
      <c r="C16" s="28">
        <v>9</v>
      </c>
      <c r="D16" s="224" t="str">
        <f>VLOOKUP($B16,'Свод '!$B$4:$G$160,3,0)</f>
        <v>Валерианы настойка 25 мл</v>
      </c>
      <c r="E16" s="225">
        <f>VLOOKUP($B16,'Свод '!$B$4:$G$160,6,0)</f>
        <v>2.54</v>
      </c>
      <c r="F16" s="225">
        <f t="shared" si="0"/>
        <v>0.25</v>
      </c>
      <c r="G16" s="226">
        <f t="shared" si="1"/>
        <v>2.79</v>
      </c>
      <c r="H16" s="227" t="str">
        <f>VLOOKUP(B16,'Анализ рынка'!$1:$1048576,12,0)</f>
        <v>мл</v>
      </c>
      <c r="I16" s="228">
        <f>VLOOKUP(B16,'Анализ рынка'!$1:$1048576,35,0)</f>
        <v>500</v>
      </c>
      <c r="J16" s="137">
        <f t="shared" si="2"/>
        <v>1395</v>
      </c>
      <c r="K16" s="140">
        <v>2.79</v>
      </c>
      <c r="L16" s="224" t="str">
        <f>VLOOKUP($B16,'Спецификация 25'!$A:$J,4,0)</f>
        <v>21.20.10.235</v>
      </c>
      <c r="M16" s="44">
        <v>8</v>
      </c>
      <c r="N16" s="1" t="s">
        <v>436</v>
      </c>
      <c r="O16" s="185"/>
      <c r="P16" s="268"/>
      <c r="Q16" s="187"/>
    </row>
    <row r="17" spans="2:17" x14ac:dyDescent="0.25">
      <c r="B17" s="125">
        <v>12</v>
      </c>
      <c r="C17" s="28">
        <v>10</v>
      </c>
      <c r="D17" s="224" t="str">
        <f>VLOOKUP($B17,'Свод '!$B$4:$G$160,3,0)</f>
        <v>Андипал 20 мг+250 мг+20 мг+ 20 мг №10</v>
      </c>
      <c r="E17" s="225">
        <f>VLOOKUP($B17,'Свод '!$B$4:$G$160,6,0)</f>
        <v>4.18</v>
      </c>
      <c r="F17" s="225">
        <f t="shared" si="0"/>
        <v>0.42</v>
      </c>
      <c r="G17" s="226">
        <f t="shared" si="1"/>
        <v>4.5999999999999996</v>
      </c>
      <c r="H17" s="227" t="str">
        <f>VLOOKUP(B17,'Анализ рынка'!$1:$1048576,12,0)</f>
        <v>шт</v>
      </c>
      <c r="I17" s="228">
        <f>VLOOKUP(B17,'Анализ рынка'!$1:$1048576,35,0)</f>
        <v>100</v>
      </c>
      <c r="J17" s="137">
        <f t="shared" si="2"/>
        <v>459.99999999999994</v>
      </c>
      <c r="K17" s="140">
        <v>4.5999999999999996</v>
      </c>
      <c r="L17" s="224" t="str">
        <f>VLOOKUP($B17,'Спецификация 25'!$A:$J,4,0)</f>
        <v>21.20.10.232</v>
      </c>
      <c r="M17" s="44">
        <v>8</v>
      </c>
      <c r="N17" s="1" t="s">
        <v>458</v>
      </c>
      <c r="O17" s="185"/>
      <c r="P17" s="268"/>
      <c r="Q17" s="187"/>
    </row>
    <row r="18" spans="2:17" x14ac:dyDescent="0.25">
      <c r="B18" s="125">
        <v>13</v>
      </c>
      <c r="C18" s="28">
        <v>11</v>
      </c>
      <c r="D18" s="224" t="str">
        <f>VLOOKUP($B18,'Свод '!$B$4:$G$160,3,0)</f>
        <v>Валидол 60 мг №10</v>
      </c>
      <c r="E18" s="225">
        <f>VLOOKUP($B18,'Свод '!$B$4:$G$160,6,0)</f>
        <v>2.1800000000000002</v>
      </c>
      <c r="F18" s="225">
        <f t="shared" si="0"/>
        <v>0.22</v>
      </c>
      <c r="G18" s="226">
        <f t="shared" si="1"/>
        <v>2.4</v>
      </c>
      <c r="H18" s="227" t="str">
        <f>VLOOKUP(B18,'Анализ рынка'!$1:$1048576,12,0)</f>
        <v>шт</v>
      </c>
      <c r="I18" s="228">
        <f>VLOOKUP(B18,'Анализ рынка'!$1:$1048576,35,0)</f>
        <v>100</v>
      </c>
      <c r="J18" s="137">
        <f t="shared" si="2"/>
        <v>240</v>
      </c>
      <c r="K18" s="140">
        <v>2.4</v>
      </c>
      <c r="L18" s="224" t="str">
        <f>VLOOKUP($B18,'Спецификация 25'!$A:$J,4,0)</f>
        <v>21.20.10.141</v>
      </c>
      <c r="M18" s="44">
        <v>8</v>
      </c>
      <c r="N18" s="371" t="s">
        <v>461</v>
      </c>
      <c r="O18" s="185"/>
      <c r="P18" s="268"/>
      <c r="Q18" s="187"/>
    </row>
    <row r="19" spans="2:17" x14ac:dyDescent="0.25">
      <c r="B19" s="125">
        <v>14</v>
      </c>
      <c r="C19" s="28">
        <v>12</v>
      </c>
      <c r="D19" s="224" t="str">
        <f>VLOOKUP($B19,'Свод '!$B$4:$G$160,3,0)</f>
        <v>Капотен 25 мг №40</v>
      </c>
      <c r="E19" s="225">
        <f>VLOOKUP($B19,'Свод '!$B$4:$G$160,6,0)</f>
        <v>6.62</v>
      </c>
      <c r="F19" s="225">
        <f t="shared" si="0"/>
        <v>0.66</v>
      </c>
      <c r="G19" s="226">
        <f t="shared" si="1"/>
        <v>7.28</v>
      </c>
      <c r="H19" s="227" t="str">
        <f>VLOOKUP(B19,'Анализ рынка'!$1:$1048576,12,0)</f>
        <v>шт</v>
      </c>
      <c r="I19" s="228">
        <f>VLOOKUP(B19,'Анализ рынка'!$1:$1048576,35,0)</f>
        <v>120</v>
      </c>
      <c r="J19" s="137">
        <f t="shared" si="2"/>
        <v>873.6</v>
      </c>
      <c r="K19" s="140">
        <v>6.51</v>
      </c>
      <c r="L19" s="224" t="str">
        <f>VLOOKUP($B19,'Спецификация 25'!$A:$J,4,0)</f>
        <v>21.20.10.148</v>
      </c>
      <c r="M19" s="44">
        <v>8</v>
      </c>
      <c r="N19" s="371" t="s">
        <v>462</v>
      </c>
      <c r="O19" s="185"/>
      <c r="P19" s="268"/>
      <c r="Q19" s="187"/>
    </row>
    <row r="20" spans="2:17" x14ac:dyDescent="0.25">
      <c r="B20" s="125">
        <v>15</v>
      </c>
      <c r="C20" s="28">
        <v>13</v>
      </c>
      <c r="D20" s="224" t="str">
        <f>VLOOKUP($B20,'Свод '!$B$4:$G$160,3,0)</f>
        <v>Кетанов 10 мг № 20</v>
      </c>
      <c r="E20" s="225">
        <f>VLOOKUP($B20,'Свод '!$B$4:$G$160,6,0)</f>
        <v>5.4119999999999999</v>
      </c>
      <c r="F20" s="225">
        <f t="shared" si="0"/>
        <v>0.54</v>
      </c>
      <c r="G20" s="226">
        <f t="shared" si="1"/>
        <v>5.95</v>
      </c>
      <c r="H20" s="227" t="str">
        <f>VLOOKUP(B20,'Анализ рынка'!$1:$1048576,12,0)</f>
        <v>шт</v>
      </c>
      <c r="I20" s="228">
        <f>VLOOKUP(B20,'Анализ рынка'!$1:$1048576,35,0)</f>
        <v>120</v>
      </c>
      <c r="J20" s="137">
        <f t="shared" si="2"/>
        <v>714</v>
      </c>
      <c r="K20" s="140">
        <v>4.3600000000000003</v>
      </c>
      <c r="L20" s="224" t="str">
        <f>VLOOKUP($B20,'Спецификация 25'!$A:$J,4,0)</f>
        <v>21.20.10.221</v>
      </c>
      <c r="M20" s="44">
        <v>8</v>
      </c>
      <c r="N20" s="371" t="s">
        <v>463</v>
      </c>
      <c r="O20" s="185"/>
      <c r="P20" s="268"/>
      <c r="Q20" s="187"/>
    </row>
    <row r="21" spans="2:17" x14ac:dyDescent="0.25">
      <c r="B21" s="125">
        <v>16</v>
      </c>
      <c r="C21" s="28">
        <v>14</v>
      </c>
      <c r="D21" s="224" t="str">
        <f>VLOOKUP($B21,'Свод '!$B$4:$G$160,3,0)</f>
        <v>Конкор 5 мг № 30</v>
      </c>
      <c r="E21" s="225">
        <f>VLOOKUP($B21,'Свод '!$B$4:$G$160,6,0)</f>
        <v>5.94</v>
      </c>
      <c r="F21" s="225">
        <f t="shared" si="0"/>
        <v>0.59</v>
      </c>
      <c r="G21" s="226">
        <f t="shared" si="1"/>
        <v>6.53</v>
      </c>
      <c r="H21" s="227" t="str">
        <f>VLOOKUP(B21,'Анализ рынка'!$1:$1048576,12,0)</f>
        <v>шт</v>
      </c>
      <c r="I21" s="228">
        <f>VLOOKUP(B21,'Анализ рынка'!$1:$1048576,35,0)</f>
        <v>90</v>
      </c>
      <c r="J21" s="137">
        <f t="shared" si="2"/>
        <v>587.70000000000005</v>
      </c>
      <c r="K21" s="140">
        <v>5.84</v>
      </c>
      <c r="L21" s="224" t="str">
        <f>VLOOKUP($B21,'Спецификация 25'!$A:$J,4,0)</f>
        <v>21.20.10.146</v>
      </c>
      <c r="M21" s="44">
        <v>0</v>
      </c>
      <c r="N21" s="371" t="s">
        <v>464</v>
      </c>
      <c r="O21" s="185"/>
      <c r="P21" s="268"/>
      <c r="Q21" s="187"/>
    </row>
    <row r="22" spans="2:17" x14ac:dyDescent="0.25">
      <c r="B22" s="125">
        <v>17</v>
      </c>
      <c r="C22" s="28">
        <v>15</v>
      </c>
      <c r="D22" s="224" t="str">
        <f>VLOOKUP($B22,'Свод '!$B$4:$G$160,3,0)</f>
        <v>Физиотенз 0,2 мг № 28</v>
      </c>
      <c r="E22" s="225">
        <f>VLOOKUP($B22,'Свод '!$B$4:$G$160,6,0)</f>
        <v>22.03</v>
      </c>
      <c r="F22" s="225">
        <f t="shared" si="0"/>
        <v>2.2000000000000002</v>
      </c>
      <c r="G22" s="226">
        <f t="shared" si="1"/>
        <v>24.23</v>
      </c>
      <c r="H22" s="227" t="str">
        <f>VLOOKUP(B22,'Анализ рынка'!$1:$1048576,12,0)</f>
        <v>шт</v>
      </c>
      <c r="I22" s="228">
        <f>VLOOKUP(B22,'Анализ рынка'!$1:$1048576,35,0)</f>
        <v>280</v>
      </c>
      <c r="J22" s="137">
        <f t="shared" si="2"/>
        <v>6784.4000000000005</v>
      </c>
      <c r="K22" s="140">
        <v>22.04</v>
      </c>
      <c r="L22" s="224" t="str">
        <f>VLOOKUP($B22,'Спецификация 25'!$A:$J,4,0)</f>
        <v>21.20.10.142</v>
      </c>
      <c r="M22" s="44">
        <v>8</v>
      </c>
      <c r="N22" s="371" t="s">
        <v>465</v>
      </c>
      <c r="O22" s="185"/>
      <c r="P22" s="268"/>
      <c r="Q22" s="187"/>
    </row>
    <row r="23" spans="2:17" x14ac:dyDescent="0.25">
      <c r="B23" s="125">
        <v>18</v>
      </c>
      <c r="C23" s="28">
        <v>16</v>
      </c>
      <c r="D23" s="224" t="str">
        <f>VLOOKUP($B23,'Свод '!$B$4:$G$160,3,0)</f>
        <v>Кордиамин 25% 1 мл № 10</v>
      </c>
      <c r="E23" s="225">
        <f>VLOOKUP($B23,'Свод '!$B$4:$G$160,6,0)</f>
        <v>18.899999999999999</v>
      </c>
      <c r="F23" s="225">
        <f t="shared" si="0"/>
        <v>1.89</v>
      </c>
      <c r="G23" s="226">
        <f t="shared" si="1"/>
        <v>20.79</v>
      </c>
      <c r="H23" s="227" t="str">
        <f>VLOOKUP(B23,'Анализ рынка'!$1:$1048576,12,0)</f>
        <v>мл</v>
      </c>
      <c r="I23" s="228">
        <f>VLOOKUP(B23,'Анализ рынка'!$1:$1048576,35,0)</f>
        <v>80</v>
      </c>
      <c r="J23" s="137">
        <f t="shared" si="2"/>
        <v>1663.1999999999998</v>
      </c>
      <c r="K23" s="140">
        <v>20.79</v>
      </c>
      <c r="L23" s="224" t="str">
        <f>VLOOKUP($B23,'Спецификация 25'!$A:$J,4,0)</f>
        <v>21.20.10.259</v>
      </c>
      <c r="M23" s="44">
        <v>0</v>
      </c>
      <c r="N23" s="371" t="s">
        <v>466</v>
      </c>
      <c r="O23" s="185"/>
      <c r="P23" s="268"/>
      <c r="Q23" s="187"/>
    </row>
    <row r="24" spans="2:17" x14ac:dyDescent="0.25">
      <c r="B24" s="125">
        <v>20</v>
      </c>
      <c r="C24" s="28">
        <v>17</v>
      </c>
      <c r="D24" s="224" t="str">
        <f>VLOOKUP($B24,'Свод '!$B$4:$G$160,3,0)</f>
        <v>Нитроглицерин 0,5 мг №40</v>
      </c>
      <c r="E24" s="225">
        <f>VLOOKUP($B24,'Свод '!$B$4:$G$160,6,0)</f>
        <v>1.36</v>
      </c>
      <c r="F24" s="225">
        <f t="shared" si="0"/>
        <v>0.14000000000000001</v>
      </c>
      <c r="G24" s="226">
        <f t="shared" si="1"/>
        <v>1.5</v>
      </c>
      <c r="H24" s="227" t="str">
        <f>VLOOKUP(B24,'Анализ рынка'!$1:$1048576,12,0)</f>
        <v>шт</v>
      </c>
      <c r="I24" s="228">
        <f>VLOOKUP(B24,'Анализ рынка'!$1:$1048576,35,0)</f>
        <v>400</v>
      </c>
      <c r="J24" s="137">
        <f t="shared" si="2"/>
        <v>600</v>
      </c>
      <c r="K24" s="140">
        <v>1.28</v>
      </c>
      <c r="L24" s="224" t="str">
        <f>VLOOKUP($B24,'Спецификация 25'!$A:$J,4,0)</f>
        <v>21.20.10.141</v>
      </c>
      <c r="M24" s="44">
        <v>8</v>
      </c>
      <c r="N24" s="1" t="s">
        <v>437</v>
      </c>
      <c r="O24" s="185"/>
      <c r="P24" s="268"/>
      <c r="Q24" s="187"/>
    </row>
    <row r="25" spans="2:17" x14ac:dyDescent="0.25">
      <c r="B25" s="125">
        <v>22</v>
      </c>
      <c r="C25" s="28">
        <v>18</v>
      </c>
      <c r="D25" s="224" t="str">
        <f>VLOOKUP($B25,'Свод '!$B$4:$G$160,3,0)</f>
        <v>Аммиак 10% 40 мл.</v>
      </c>
      <c r="E25" s="225">
        <f>VLOOKUP($B25,'Свод '!$B$4:$G$160,6,0)</f>
        <v>0.56999999999999995</v>
      </c>
      <c r="F25" s="225">
        <f t="shared" si="0"/>
        <v>0.06</v>
      </c>
      <c r="G25" s="226">
        <f t="shared" si="1"/>
        <v>0.63</v>
      </c>
      <c r="H25" s="227" t="str">
        <f>VLOOKUP(B25,'Анализ рынка'!$1:$1048576,12,0)</f>
        <v>мл</v>
      </c>
      <c r="I25" s="228">
        <f>VLOOKUP(B25,'Анализ рынка'!$1:$1048576,35,0)</f>
        <v>1200</v>
      </c>
      <c r="J25" s="137">
        <f t="shared" si="2"/>
        <v>756</v>
      </c>
      <c r="K25" s="140">
        <v>0.63</v>
      </c>
      <c r="L25" s="224" t="str">
        <f>VLOOKUP($B25,'Спецификация 25'!$A:$J,4,0)</f>
        <v>21.20.10.259</v>
      </c>
      <c r="M25" s="44">
        <v>8</v>
      </c>
      <c r="N25" s="1" t="s">
        <v>438</v>
      </c>
      <c r="O25" s="185"/>
      <c r="P25" s="268"/>
      <c r="Q25" s="187"/>
    </row>
    <row r="26" spans="2:17" x14ac:dyDescent="0.25">
      <c r="B26" s="125">
        <v>23</v>
      </c>
      <c r="C26" s="28">
        <v>19</v>
      </c>
      <c r="D26" s="224" t="str">
        <f>VLOOKUP($B26,'Свод '!$B$4:$G$160,3,0)</f>
        <v>Вазелин 30 гр</v>
      </c>
      <c r="E26" s="225">
        <f>VLOOKUP($B26,'Свод '!$B$4:$G$160,6,0)</f>
        <v>1.96</v>
      </c>
      <c r="F26" s="225">
        <f t="shared" si="0"/>
        <v>0.2</v>
      </c>
      <c r="G26" s="226">
        <f t="shared" si="1"/>
        <v>2.16</v>
      </c>
      <c r="H26" s="227" t="str">
        <f>VLOOKUP(B26,'Анализ рынка'!$1:$1048576,12,0)</f>
        <v>г</v>
      </c>
      <c r="I26" s="228">
        <f>VLOOKUP(B26,'Анализ рынка'!$1:$1048576,35,0)</f>
        <v>300</v>
      </c>
      <c r="J26" s="137">
        <f t="shared" si="2"/>
        <v>648</v>
      </c>
      <c r="K26" s="140">
        <v>2.16</v>
      </c>
      <c r="L26" s="224" t="str">
        <f>VLOOKUP($B26,'Спецификация 25'!$A:$J,4,0)</f>
        <v>21.20.10.169</v>
      </c>
      <c r="M26" s="44">
        <v>8</v>
      </c>
      <c r="N26" s="1" t="s">
        <v>439</v>
      </c>
      <c r="O26" s="185"/>
      <c r="P26" s="268"/>
      <c r="Q26" s="187"/>
    </row>
    <row r="27" spans="2:17" x14ac:dyDescent="0.25">
      <c r="B27" s="125">
        <v>24</v>
      </c>
      <c r="C27" s="28">
        <v>20</v>
      </c>
      <c r="D27" s="224" t="str">
        <f>VLOOKUP($B27,'Свод '!$B$4:$G$160,3,0)</f>
        <v>Натрия хлорид 0,9% 200 мл</v>
      </c>
      <c r="E27" s="225">
        <f>VLOOKUP($B27,'Свод '!$B$4:$G$160,6,0)</f>
        <v>0.34</v>
      </c>
      <c r="F27" s="225">
        <f t="shared" si="0"/>
        <v>0.03</v>
      </c>
      <c r="G27" s="226">
        <f t="shared" si="1"/>
        <v>0.37</v>
      </c>
      <c r="H27" s="227" t="str">
        <f>VLOOKUP(B27,'Анализ рынка'!$1:$1048576,12,0)</f>
        <v>мл</v>
      </c>
      <c r="I27" s="228">
        <f>VLOOKUP(B27,'Анализ рынка'!$1:$1048576,35,0)</f>
        <v>67200</v>
      </c>
      <c r="J27" s="137">
        <f t="shared" si="2"/>
        <v>24864</v>
      </c>
      <c r="K27" s="140">
        <v>0.12</v>
      </c>
      <c r="L27" s="224" t="str">
        <f>VLOOKUP($B27,'Спецификация 25'!$A:$J,4,0)</f>
        <v>21.20.10.134</v>
      </c>
      <c r="M27" s="44">
        <v>0</v>
      </c>
      <c r="N27" s="1" t="s">
        <v>440</v>
      </c>
      <c r="O27" s="185"/>
      <c r="P27" s="268"/>
      <c r="Q27" s="187"/>
    </row>
    <row r="28" spans="2:17" x14ac:dyDescent="0.25">
      <c r="B28" s="125">
        <v>25</v>
      </c>
      <c r="C28" s="28">
        <v>21</v>
      </c>
      <c r="D28" s="224" t="str">
        <f>VLOOKUP($B28,'Свод '!$B$4:$G$160,3,0)</f>
        <v>Натрия хлорид 0,9%  5,0 №10</v>
      </c>
      <c r="E28" s="225">
        <f>VLOOKUP($B28,'Свод '!$B$4:$G$160,6,0)</f>
        <v>1.25</v>
      </c>
      <c r="F28" s="225">
        <f t="shared" si="0"/>
        <v>0.13</v>
      </c>
      <c r="G28" s="226">
        <f t="shared" si="1"/>
        <v>1.38</v>
      </c>
      <c r="H28" s="227" t="str">
        <f>VLOOKUP(B28,'Анализ рынка'!$1:$1048576,12,0)</f>
        <v>мл</v>
      </c>
      <c r="I28" s="228">
        <f>VLOOKUP(B28,'Анализ рынка'!$1:$1048576,35,0)</f>
        <v>400</v>
      </c>
      <c r="J28" s="137">
        <f t="shared" si="2"/>
        <v>552</v>
      </c>
      <c r="K28" s="140">
        <v>1.33</v>
      </c>
      <c r="L28" s="224" t="str">
        <f>VLOOKUP($B28,'Спецификация 25'!$A:$J,4,0)</f>
        <v>21.20.23.199</v>
      </c>
      <c r="M28" s="44">
        <v>8</v>
      </c>
      <c r="N28" s="1" t="s">
        <v>441</v>
      </c>
      <c r="O28" s="185"/>
      <c r="P28" s="268"/>
      <c r="Q28" s="187"/>
    </row>
    <row r="29" spans="2:17" x14ac:dyDescent="0.25">
      <c r="B29" s="125">
        <v>26</v>
      </c>
      <c r="C29" s="28">
        <v>22</v>
      </c>
      <c r="D29" s="224" t="str">
        <f>VLOOKUP($B29,'Свод '!$B$4:$G$160,3,0)</f>
        <v>Метрогил дента 20 г.</v>
      </c>
      <c r="E29" s="225">
        <f>VLOOKUP($B29,'Свод '!$B$4:$G$160,6,0)</f>
        <v>33.18</v>
      </c>
      <c r="F29" s="225">
        <f t="shared" si="0"/>
        <v>3.32</v>
      </c>
      <c r="G29" s="226">
        <f t="shared" si="1"/>
        <v>36.5</v>
      </c>
      <c r="H29" s="227" t="str">
        <f>VLOOKUP(B29,'Анализ рынка'!$1:$1048576,12,0)</f>
        <v>г</v>
      </c>
      <c r="I29" s="228">
        <f>VLOOKUP(B29,'Анализ рынка'!$1:$1048576,35,0)</f>
        <v>600</v>
      </c>
      <c r="J29" s="137">
        <f t="shared" si="2"/>
        <v>21900</v>
      </c>
      <c r="K29" s="140">
        <v>36.5</v>
      </c>
      <c r="L29" s="224" t="str">
        <f>VLOOKUP($B29,'Спецификация 25'!$A:$J,4,0)</f>
        <v>21.20.10.111</v>
      </c>
      <c r="M29" s="44">
        <v>8</v>
      </c>
      <c r="N29" s="1" t="s">
        <v>460</v>
      </c>
      <c r="O29" s="185"/>
      <c r="P29" s="268"/>
      <c r="Q29" s="187"/>
    </row>
    <row r="30" spans="2:17" x14ac:dyDescent="0.25">
      <c r="B30" s="125">
        <v>27</v>
      </c>
      <c r="C30" s="28">
        <v>23</v>
      </c>
      <c r="D30" s="224" t="str">
        <f>VLOOKUP($B30,'Свод '!$B$4:$G$160,3,0)</f>
        <v>Перекись водорода 3% 100 мл</v>
      </c>
      <c r="E30" s="225">
        <f>VLOOKUP($B30,'Свод '!$B$4:$G$160,6,0)</f>
        <v>0.1</v>
      </c>
      <c r="F30" s="225">
        <f t="shared" si="0"/>
        <v>0.01</v>
      </c>
      <c r="G30" s="226">
        <f t="shared" si="1"/>
        <v>0.11</v>
      </c>
      <c r="H30" s="227" t="str">
        <f>VLOOKUP(B30,'Анализ рынка'!$1:$1048576,12,0)</f>
        <v>мл</v>
      </c>
      <c r="I30" s="228">
        <f>VLOOKUP(B30,'Анализ рынка'!$1:$1048576,35,0)</f>
        <v>15000</v>
      </c>
      <c r="J30" s="137">
        <f t="shared" si="2"/>
        <v>1650</v>
      </c>
      <c r="K30" s="140">
        <v>7.0000000000000007E-2</v>
      </c>
      <c r="L30" s="224" t="str">
        <f>VLOOKUP($B30,'Спецификация 25'!$A:$J,4,0)</f>
        <v>21.20.10.158</v>
      </c>
      <c r="M30" s="44">
        <v>8</v>
      </c>
      <c r="N30" s="371" t="s">
        <v>467</v>
      </c>
      <c r="O30" s="185"/>
      <c r="P30" s="268"/>
      <c r="Q30" s="187"/>
    </row>
    <row r="31" spans="2:17" ht="25.5" x14ac:dyDescent="0.25">
      <c r="B31" s="125">
        <v>28</v>
      </c>
      <c r="C31" s="28">
        <v>24</v>
      </c>
      <c r="D31" s="224" t="str">
        <f>VLOOKUP($B31,'Свод '!$B$4:$G$160,3,0)</f>
        <v>Хлоргексидина биглюконата раствор 0,05% 100 мл</v>
      </c>
      <c r="E31" s="225">
        <f>VLOOKUP($B31,'Свод '!$B$4:$G$160,6,0)</f>
        <v>0.18</v>
      </c>
      <c r="F31" s="225">
        <f t="shared" si="0"/>
        <v>0.02</v>
      </c>
      <c r="G31" s="226">
        <f t="shared" si="1"/>
        <v>0.2</v>
      </c>
      <c r="H31" s="227" t="str">
        <f>VLOOKUP(B31,'Анализ рынка'!$1:$1048576,12,0)</f>
        <v>мл</v>
      </c>
      <c r="I31" s="228">
        <f>VLOOKUP(B31,'Анализ рынка'!$1:$1048576,35,0)</f>
        <v>40000</v>
      </c>
      <c r="J31" s="137">
        <f t="shared" si="2"/>
        <v>8000</v>
      </c>
      <c r="K31" s="140">
        <v>0.14000000000000001</v>
      </c>
      <c r="L31" s="224" t="str">
        <f>VLOOKUP($B31,'Спецификация 25'!$A:$J,4,0)</f>
        <v>21.20.10.158</v>
      </c>
      <c r="M31" s="44">
        <v>0</v>
      </c>
      <c r="N31" s="1" t="s">
        <v>442</v>
      </c>
      <c r="O31" s="185"/>
      <c r="P31" s="268"/>
      <c r="Q31" s="187"/>
    </row>
    <row r="32" spans="2:17" x14ac:dyDescent="0.25">
      <c r="B32" s="125">
        <v>29</v>
      </c>
      <c r="C32" s="28">
        <v>25</v>
      </c>
      <c r="D32" s="224" t="str">
        <f>VLOOKUP($B32,'Свод '!$B$4:$G$160,3,0)</f>
        <v>Сульфацил натрия 20%  1,5 мл №2</v>
      </c>
      <c r="E32" s="225">
        <f>VLOOKUP($B32,'Свод '!$B$4:$G$160,6,0)</f>
        <v>38.18</v>
      </c>
      <c r="F32" s="225">
        <f t="shared" si="0"/>
        <v>3.82</v>
      </c>
      <c r="G32" s="226">
        <f t="shared" si="1"/>
        <v>42</v>
      </c>
      <c r="H32" s="227" t="str">
        <f>VLOOKUP(B32,'Анализ рынка'!$1:$1048576,12,0)</f>
        <v>мл</v>
      </c>
      <c r="I32" s="228">
        <f>VLOOKUP(B32,'Анализ рынка'!$1:$1048576,35,0)</f>
        <v>30</v>
      </c>
      <c r="J32" s="137">
        <f t="shared" si="2"/>
        <v>1260</v>
      </c>
      <c r="K32" s="140">
        <v>42</v>
      </c>
      <c r="L32" s="224" t="str">
        <f>VLOOKUP($B32,'Спецификация 25'!$A:$J,4,0)</f>
        <v>21.20.10.261</v>
      </c>
      <c r="M32" s="44">
        <v>8</v>
      </c>
      <c r="N32" s="1" t="s">
        <v>443</v>
      </c>
      <c r="O32" s="185"/>
      <c r="P32" s="268"/>
      <c r="Q32" s="187"/>
    </row>
    <row r="33" spans="2:31" ht="51.75" x14ac:dyDescent="0.25">
      <c r="B33" s="125">
        <v>31</v>
      </c>
      <c r="C33" s="28">
        <v>26</v>
      </c>
      <c r="D33" s="224" t="str">
        <f>VLOOKUP($B33,'Свод '!$B$4:$G$160,3,0)</f>
        <v>Клей БФ-6 10 г</v>
      </c>
      <c r="E33" s="225">
        <f>VLOOKUP($B33,'Свод '!$B$4:$G$160,6,0)</f>
        <v>16.899999999999999</v>
      </c>
      <c r="F33" s="225">
        <f t="shared" si="0"/>
        <v>1.69</v>
      </c>
      <c r="G33" s="226">
        <f t="shared" si="1"/>
        <v>18.59</v>
      </c>
      <c r="H33" s="227" t="str">
        <f>VLOOKUP(B33,'Анализ рынка'!$1:$1048576,12,0)</f>
        <v>г</v>
      </c>
      <c r="I33" s="228">
        <f>VLOOKUP(B33,'Анализ рынка'!$1:$1048576,35,0)</f>
        <v>50</v>
      </c>
      <c r="J33" s="137">
        <f t="shared" si="2"/>
        <v>929.5</v>
      </c>
      <c r="K33" s="140">
        <v>18.59</v>
      </c>
      <c r="L33" s="224" t="str">
        <f>VLOOKUP($B33,'Спецификация 25'!$A:$J,4,0)</f>
        <v>21.20.10.158</v>
      </c>
      <c r="M33" s="44">
        <v>8</v>
      </c>
      <c r="N33" s="50" t="s">
        <v>468</v>
      </c>
      <c r="O33" s="185"/>
      <c r="P33" s="268"/>
      <c r="Q33" s="187"/>
    </row>
    <row r="34" spans="2:31" x14ac:dyDescent="0.25">
      <c r="B34" s="125">
        <v>32</v>
      </c>
      <c r="C34" s="28">
        <v>27</v>
      </c>
      <c r="D34" s="224" t="str">
        <f>VLOOKUP($B34,'Свод '!$B$4:$G$160,3,0)</f>
        <v>Лидокаин 10%</v>
      </c>
      <c r="E34" s="225">
        <f>VLOOKUP($B34,'Свод '!$B$4:$G$160,6,0)</f>
        <v>7.86</v>
      </c>
      <c r="F34" s="225">
        <f t="shared" si="0"/>
        <v>0.79</v>
      </c>
      <c r="G34" s="226">
        <f t="shared" si="1"/>
        <v>8.65</v>
      </c>
      <c r="H34" s="227" t="str">
        <f>VLOOKUP(B34,'Анализ рынка'!$1:$1048576,12,0)</f>
        <v>г</v>
      </c>
      <c r="I34" s="228">
        <f>VLOOKUP(B34,'Анализ рынка'!$1:$1048576,35,0)</f>
        <v>228</v>
      </c>
      <c r="J34" s="137">
        <f t="shared" si="2"/>
        <v>1972.2</v>
      </c>
      <c r="K34" s="140">
        <v>6.93</v>
      </c>
      <c r="L34" s="224" t="str">
        <f>VLOOKUP($B34,'Спецификация 25'!$A:$J,4,0)</f>
        <v>21.20.10.154</v>
      </c>
      <c r="M34" s="44">
        <v>8</v>
      </c>
      <c r="N34" s="1" t="s">
        <v>444</v>
      </c>
      <c r="O34" s="185"/>
      <c r="P34" s="268"/>
      <c r="Q34" s="187"/>
    </row>
    <row r="35" spans="2:31" ht="17.25" customHeight="1" x14ac:dyDescent="0.25">
      <c r="B35" s="125">
        <v>33</v>
      </c>
      <c r="C35" s="28">
        <v>28</v>
      </c>
      <c r="D35" s="224" t="str">
        <f>VLOOKUP($B35,'Свод '!$B$4:$G$160,3,0)</f>
        <v>Трихопол 250 мг № 20</v>
      </c>
      <c r="E35" s="225">
        <f>VLOOKUP($B35,'Свод '!$B$4:$G$160,6,0)</f>
        <v>4.07</v>
      </c>
      <c r="F35" s="225">
        <f t="shared" si="0"/>
        <v>0.41</v>
      </c>
      <c r="G35" s="226">
        <f t="shared" si="1"/>
        <v>4.4800000000000004</v>
      </c>
      <c r="H35" s="227" t="str">
        <f>VLOOKUP(B35,'Анализ рынка'!$1:$1048576,12,0)</f>
        <v>шт</v>
      </c>
      <c r="I35" s="228">
        <f>VLOOKUP(B35,'Анализ рынка'!$1:$1048576,35,0)</f>
        <v>60</v>
      </c>
      <c r="J35" s="137">
        <f t="shared" si="2"/>
        <v>268.8</v>
      </c>
      <c r="K35" s="140">
        <v>3.81</v>
      </c>
      <c r="L35" s="224" t="str">
        <f>VLOOKUP($B35,'Спецификация 25'!$A:$J,4,0)</f>
        <v>21.20.10.191</v>
      </c>
      <c r="M35" s="44">
        <v>8</v>
      </c>
      <c r="N35" s="50" t="s">
        <v>469</v>
      </c>
      <c r="O35" s="185"/>
      <c r="P35" s="268"/>
      <c r="Q35" s="187"/>
    </row>
    <row r="36" spans="2:31" x14ac:dyDescent="0.25">
      <c r="B36" s="125">
        <v>34</v>
      </c>
      <c r="C36" s="28">
        <v>29</v>
      </c>
      <c r="D36" s="224" t="str">
        <f>VLOOKUP($B36,'Свод '!$B$4:$G$160,3,0)</f>
        <v>Тетрациклин 100 мг № 20</v>
      </c>
      <c r="E36" s="225">
        <f>VLOOKUP($B36,'Свод '!$B$4:$G$160,6,0)</f>
        <v>7</v>
      </c>
      <c r="F36" s="225">
        <f t="shared" si="0"/>
        <v>0.7</v>
      </c>
      <c r="G36" s="226">
        <f t="shared" si="1"/>
        <v>7.7</v>
      </c>
      <c r="H36" s="227" t="str">
        <f>VLOOKUP(B36,'Анализ рынка'!$1:$1048576,12,0)</f>
        <v>шт</v>
      </c>
      <c r="I36" s="228">
        <f>VLOOKUP(B36,'Анализ рынка'!$1:$1048576,35,0)</f>
        <v>60</v>
      </c>
      <c r="J36" s="137">
        <f t="shared" si="2"/>
        <v>462</v>
      </c>
      <c r="K36" s="140">
        <v>7.7</v>
      </c>
      <c r="L36" s="224" t="str">
        <f>VLOOKUP($B36,'Спецификация 25'!$A:$J,4,0)</f>
        <v>21.20.10.191</v>
      </c>
      <c r="M36" s="44">
        <v>8</v>
      </c>
      <c r="N36" s="1" t="s">
        <v>445</v>
      </c>
      <c r="O36" s="185"/>
      <c r="P36" s="268"/>
      <c r="Q36" s="187"/>
    </row>
    <row r="37" spans="2:31" x14ac:dyDescent="0.25">
      <c r="B37" s="125">
        <v>35</v>
      </c>
      <c r="C37" s="28">
        <v>30</v>
      </c>
      <c r="D37" s="224" t="str">
        <f>VLOOKUP($B37,'Свод '!$B$4:$G$160,3,0)</f>
        <v>Метронидазол 5 мг/мл 100 мл</v>
      </c>
      <c r="E37" s="225">
        <f>VLOOKUP($B37,'Свод '!$B$4:$G$160,6,0)</f>
        <v>0.31</v>
      </c>
      <c r="F37" s="225">
        <f t="shared" si="0"/>
        <v>0.03</v>
      </c>
      <c r="G37" s="226">
        <f t="shared" si="1"/>
        <v>0.34</v>
      </c>
      <c r="H37" s="227" t="str">
        <f>VLOOKUP(B37,'Анализ рынка'!$1:$1048576,12,0)</f>
        <v>мл</v>
      </c>
      <c r="I37" s="228">
        <f>VLOOKUP(B37,'Анализ рынка'!$1:$1048576,35,0)</f>
        <v>500</v>
      </c>
      <c r="J37" s="137">
        <f t="shared" si="2"/>
        <v>170</v>
      </c>
      <c r="K37" s="140">
        <v>0.3</v>
      </c>
      <c r="L37" s="224" t="str">
        <f>VLOOKUP($B37,'Спецификация 25'!$A:$J,4,0)</f>
        <v>21.20.10.191</v>
      </c>
      <c r="M37" s="44">
        <v>8</v>
      </c>
      <c r="N37" s="1" t="s">
        <v>446</v>
      </c>
      <c r="O37" s="185"/>
      <c r="P37" s="268"/>
      <c r="Q37" s="187"/>
    </row>
    <row r="38" spans="2:31" x14ac:dyDescent="0.25">
      <c r="B38" s="125">
        <v>36</v>
      </c>
      <c r="C38" s="28">
        <v>31</v>
      </c>
      <c r="D38" s="224" t="str">
        <f>VLOOKUP($B38,'Свод '!$B$4:$G$160,3,0)</f>
        <v>Метилурацил 10% 25</v>
      </c>
      <c r="E38" s="225">
        <f>VLOOKUP($B38,'Свод '!$B$4:$G$160,6,0)</f>
        <v>3.05</v>
      </c>
      <c r="F38" s="225">
        <f t="shared" si="0"/>
        <v>0.31</v>
      </c>
      <c r="G38" s="226">
        <f t="shared" si="1"/>
        <v>3.36</v>
      </c>
      <c r="H38" s="227" t="str">
        <f>VLOOKUP(B38,'Анализ рынка'!$1:$1048576,12,0)</f>
        <v>мл</v>
      </c>
      <c r="I38" s="228">
        <f>VLOOKUP(B38,'Анализ рынка'!$1:$1048576,35,0)</f>
        <v>75</v>
      </c>
      <c r="J38" s="137">
        <f t="shared" si="2"/>
        <v>252</v>
      </c>
      <c r="K38" s="140">
        <v>3.36</v>
      </c>
      <c r="L38" s="224" t="str">
        <f>VLOOKUP($B38,'Спецификация 25'!$A:$J,4,0)</f>
        <v>21.20.10.169</v>
      </c>
      <c r="M38" s="44">
        <v>8</v>
      </c>
      <c r="N38" s="371" t="s">
        <v>470</v>
      </c>
      <c r="O38" s="185"/>
      <c r="P38" s="268"/>
      <c r="Q38" s="187"/>
    </row>
    <row r="39" spans="2:31" x14ac:dyDescent="0.25">
      <c r="B39" s="125">
        <v>37</v>
      </c>
      <c r="C39" s="28">
        <v>32</v>
      </c>
      <c r="D39" s="224" t="str">
        <f>VLOOKUP($B39,'Свод '!$B$4:$G$160,3,0)</f>
        <v>Хлорофиллипт 2% 20 мл</v>
      </c>
      <c r="E39" s="225">
        <f>VLOOKUP($B39,'Свод '!$B$4:$G$160,6,0)</f>
        <v>19.77</v>
      </c>
      <c r="F39" s="225">
        <f t="shared" ref="F39" si="3">ROUND(E39*10%,2)</f>
        <v>1.98</v>
      </c>
      <c r="G39" s="226">
        <f t="shared" ref="G39" si="4">ROUND(E39+F39,2)</f>
        <v>21.75</v>
      </c>
      <c r="H39" s="227" t="str">
        <f>VLOOKUP(B39,'Анализ рынка'!$1:$1048576,12,0)</f>
        <v>мл</v>
      </c>
      <c r="I39" s="228">
        <f>VLOOKUP(B39,'Анализ рынка'!$1:$1048576,35,0)</f>
        <v>100</v>
      </c>
      <c r="J39" s="137">
        <f t="shared" ref="J39" si="5">G39*I39</f>
        <v>2175</v>
      </c>
      <c r="K39" s="140">
        <v>21.75</v>
      </c>
      <c r="L39" s="224" t="str">
        <f>VLOOKUP($B39,'Спецификация 25'!$A:$J,4,0)</f>
        <v>21.20.10.156</v>
      </c>
      <c r="M39" s="44">
        <v>8</v>
      </c>
      <c r="N39" s="371" t="s">
        <v>471</v>
      </c>
      <c r="O39" s="185"/>
      <c r="P39" s="268"/>
      <c r="Q39" s="187"/>
      <c r="R39" s="7"/>
      <c r="T39" s="7"/>
      <c r="U39" s="7"/>
      <c r="V39" s="7"/>
      <c r="W39" s="7"/>
      <c r="X39" s="7"/>
      <c r="Z39" s="8"/>
      <c r="AA39" s="8"/>
      <c r="AB39" s="8"/>
      <c r="AC39" s="9"/>
      <c r="AD39" s="10"/>
      <c r="AE39" s="13"/>
    </row>
    <row r="40" spans="2:31" x14ac:dyDescent="0.25">
      <c r="B40" s="125">
        <v>38</v>
      </c>
      <c r="C40" s="28">
        <v>33</v>
      </c>
      <c r="D40" s="224" t="str">
        <f>VLOOKUP($B40,'Свод '!$B$4:$G$160,3,0)</f>
        <v>Облепиховое масло 50 мл</v>
      </c>
      <c r="E40" s="225">
        <f>VLOOKUP($B40,'Свод '!$B$4:$G$160,6,0)</f>
        <v>5.92</v>
      </c>
      <c r="F40" s="225">
        <f t="shared" ref="F40:F42" si="6">ROUND(E40*10%,2)</f>
        <v>0.59</v>
      </c>
      <c r="G40" s="226">
        <f t="shared" ref="G40:G42" si="7">ROUND(E40+F40,2)</f>
        <v>6.51</v>
      </c>
      <c r="H40" s="227" t="str">
        <f>VLOOKUP(B40,'Анализ рынка'!$1:$1048576,12,0)</f>
        <v>мл</v>
      </c>
      <c r="I40" s="228">
        <f>VLOOKUP(B40,'Анализ рынка'!$1:$1048576,35,0)</f>
        <v>150</v>
      </c>
      <c r="J40" s="137">
        <f t="shared" ref="J40:J42" si="8">G40*I40</f>
        <v>976.5</v>
      </c>
      <c r="K40" s="140">
        <v>6.51</v>
      </c>
      <c r="L40" s="224" t="str">
        <f>VLOOKUP($B40,'Спецификация 25'!$A:$J,4,0)</f>
        <v>21.20.10.169</v>
      </c>
      <c r="M40" s="44">
        <v>0</v>
      </c>
      <c r="N40" s="5" t="s">
        <v>447</v>
      </c>
      <c r="O40" s="185"/>
      <c r="P40" s="268"/>
      <c r="Q40" s="187"/>
    </row>
    <row r="41" spans="2:31" x14ac:dyDescent="0.25">
      <c r="B41" s="125">
        <v>39</v>
      </c>
      <c r="C41" s="28">
        <v>34</v>
      </c>
      <c r="D41" s="224" t="str">
        <f>VLOOKUP($B41,'Свод '!$B$4:$G$160,3,0)</f>
        <v>Шиповника масло 50 мл</v>
      </c>
      <c r="E41" s="225">
        <f>VLOOKUP($B41,'Свод '!$B$4:$G$160,6,0)</f>
        <v>9.09</v>
      </c>
      <c r="F41" s="225">
        <f t="shared" si="6"/>
        <v>0.91</v>
      </c>
      <c r="G41" s="226">
        <f t="shared" si="7"/>
        <v>10</v>
      </c>
      <c r="H41" s="227" t="str">
        <f>VLOOKUP(B41,'Анализ рынка'!$1:$1048576,12,0)</f>
        <v>мл</v>
      </c>
      <c r="I41" s="228">
        <f>VLOOKUP(B41,'Анализ рынка'!$1:$1048576,35,0)</f>
        <v>150</v>
      </c>
      <c r="J41" s="137">
        <f t="shared" si="8"/>
        <v>1500</v>
      </c>
      <c r="K41" s="140">
        <v>10</v>
      </c>
      <c r="L41" s="224" t="str">
        <f>VLOOKUP($B41,'Спецификация 25'!$A:$J,4,0)</f>
        <v>21.20.10.153</v>
      </c>
      <c r="M41" s="44">
        <v>0</v>
      </c>
      <c r="N41" s="1" t="s">
        <v>448</v>
      </c>
      <c r="O41" s="185"/>
      <c r="P41" s="268"/>
    </row>
    <row r="42" spans="2:31" x14ac:dyDescent="0.25">
      <c r="B42" s="125">
        <v>40</v>
      </c>
      <c r="C42" s="28">
        <v>35</v>
      </c>
      <c r="D42" s="224" t="str">
        <f>VLOOKUP($B42,'Свод '!$B$4:$G$160,3,0)</f>
        <v>Гепариновая мазь 25 г</v>
      </c>
      <c r="E42" s="225">
        <f>VLOOKUP($B42,'Свод '!$B$4:$G$160,6,0)</f>
        <v>4.1399999999999997</v>
      </c>
      <c r="F42" s="225">
        <f t="shared" si="6"/>
        <v>0.41</v>
      </c>
      <c r="G42" s="226">
        <f t="shared" si="7"/>
        <v>4.55</v>
      </c>
      <c r="H42" s="227" t="str">
        <f>VLOOKUP(B42,'Анализ рынка'!$1:$1048576,12,0)</f>
        <v>г</v>
      </c>
      <c r="I42" s="228">
        <f>VLOOKUP(B42,'Анализ рынка'!$1:$1048576,35,0)</f>
        <v>50</v>
      </c>
      <c r="J42" s="137">
        <f t="shared" si="8"/>
        <v>227.5</v>
      </c>
      <c r="K42" s="140">
        <v>4.55</v>
      </c>
      <c r="L42" s="224" t="str">
        <f>VLOOKUP($B42,'Спецификация 25'!$A:$J,4,0)</f>
        <v>21.20.10.145</v>
      </c>
      <c r="M42" s="44">
        <v>0</v>
      </c>
      <c r="N42" s="1" t="s">
        <v>451</v>
      </c>
      <c r="O42" s="185"/>
      <c r="P42" s="268"/>
    </row>
    <row r="43" spans="2:31" x14ac:dyDescent="0.25">
      <c r="B43" s="125">
        <v>41</v>
      </c>
      <c r="C43" s="28">
        <v>36</v>
      </c>
      <c r="D43" s="224" t="str">
        <f>VLOOKUP($B43,'Свод '!$B$4:$G$160,3,0)</f>
        <v>Витамин А 3.44% 10 мл</v>
      </c>
      <c r="E43" s="225">
        <f>VLOOKUP($B43,'Свод '!$B$4:$G$160,6,0)</f>
        <v>9.67</v>
      </c>
      <c r="F43" s="225">
        <f t="shared" ref="F43:F45" si="9">ROUND(E43*10%,2)</f>
        <v>0.97</v>
      </c>
      <c r="G43" s="226">
        <f t="shared" ref="G43:G45" si="10">ROUND(E43+F43,2)</f>
        <v>10.64</v>
      </c>
      <c r="H43" s="227" t="str">
        <f>VLOOKUP(B43,'Анализ рынка'!$1:$1048576,12,0)</f>
        <v>мл</v>
      </c>
      <c r="I43" s="228">
        <f>VLOOKUP(B43,'Анализ рынка'!$1:$1048576,35,0)</f>
        <v>40</v>
      </c>
      <c r="J43" s="137">
        <f t="shared" ref="J43:J45" si="11">G43*I43</f>
        <v>425.6</v>
      </c>
      <c r="K43" s="140">
        <v>2.4700000000000002</v>
      </c>
      <c r="L43" s="224" t="str">
        <f>VLOOKUP($B43,'Спецификация 25'!$A:$J,4,0)</f>
        <v>21.10.51.123</v>
      </c>
      <c r="M43" s="44">
        <v>0</v>
      </c>
      <c r="N43" s="1" t="s">
        <v>449</v>
      </c>
      <c r="O43" s="185"/>
      <c r="P43" s="268"/>
    </row>
    <row r="44" spans="2:31" x14ac:dyDescent="0.25">
      <c r="B44" s="125">
        <v>42</v>
      </c>
      <c r="C44" s="28">
        <v>37</v>
      </c>
      <c r="D44" s="224" t="str">
        <f>VLOOKUP($B44,'Свод '!$B$4:$G$160,3,0)</f>
        <v>Витамин А 100000 МЕ/мл 10 мл</v>
      </c>
      <c r="E44" s="225">
        <f>VLOOKUP($B44,'Свод '!$B$4:$G$160,6,0)</f>
        <v>11.87</v>
      </c>
      <c r="F44" s="225">
        <f t="shared" si="9"/>
        <v>1.19</v>
      </c>
      <c r="G44" s="226">
        <f t="shared" si="10"/>
        <v>13.06</v>
      </c>
      <c r="H44" s="227" t="str">
        <f>VLOOKUP(B44,'Анализ рынка'!$1:$1048576,12,0)</f>
        <v>мл</v>
      </c>
      <c r="I44" s="228">
        <f>VLOOKUP(B44,'Анализ рынка'!$1:$1048576,35,0)</f>
        <v>20</v>
      </c>
      <c r="J44" s="137">
        <f t="shared" si="11"/>
        <v>261.2</v>
      </c>
      <c r="K44" s="140">
        <v>11.68</v>
      </c>
      <c r="L44" s="224" t="str">
        <f>VLOOKUP($B44,'Спецификация 25'!$A:$J,4,0)</f>
        <v>21.10.51.123</v>
      </c>
      <c r="M44" s="44">
        <v>0</v>
      </c>
      <c r="N44" s="1" t="s">
        <v>450</v>
      </c>
      <c r="O44" s="185"/>
      <c r="P44" s="268"/>
    </row>
    <row r="45" spans="2:31" x14ac:dyDescent="0.25">
      <c r="B45" s="125">
        <v>43</v>
      </c>
      <c r="C45" s="28">
        <v>38</v>
      </c>
      <c r="D45" s="224" t="str">
        <f>VLOOKUP($B45,'Свод '!$B$4:$G$160,3,0)</f>
        <v>Супрастин 25 мг № 20</v>
      </c>
      <c r="E45" s="225">
        <f>VLOOKUP($B45,'Свод '!$B$4:$G$160,6,0)</f>
        <v>6.4</v>
      </c>
      <c r="F45" s="225">
        <f t="shared" si="9"/>
        <v>0.64</v>
      </c>
      <c r="G45" s="226">
        <f t="shared" si="10"/>
        <v>7.04</v>
      </c>
      <c r="H45" s="227" t="str">
        <f>VLOOKUP(B45,'Анализ рынка'!$1:$1048576,12,0)</f>
        <v>шт</v>
      </c>
      <c r="I45" s="228">
        <f>VLOOKUP(B45,'Анализ рынка'!$1:$1048576,35,0)</f>
        <v>120</v>
      </c>
      <c r="J45" s="137">
        <f t="shared" si="11"/>
        <v>844.8</v>
      </c>
      <c r="K45" s="140">
        <v>6.29</v>
      </c>
      <c r="L45" s="224" t="str">
        <f>VLOOKUP($B45,'Спецификация 25'!$A:$J,4,0)</f>
        <v>21.20.10.256</v>
      </c>
      <c r="M45" s="44">
        <v>8</v>
      </c>
      <c r="N45" s="1" t="s">
        <v>452</v>
      </c>
      <c r="O45" s="185"/>
      <c r="P45" s="268"/>
    </row>
    <row r="46" spans="2:31" x14ac:dyDescent="0.25">
      <c r="B46" s="126" t="s">
        <v>51</v>
      </c>
      <c r="C46" s="32"/>
      <c r="D46" s="224"/>
      <c r="E46" s="32"/>
      <c r="F46" s="225"/>
      <c r="G46" s="226"/>
      <c r="H46" s="227"/>
      <c r="I46" s="32"/>
      <c r="J46" s="138">
        <f>SUM(J8:J45)</f>
        <v>118267.8</v>
      </c>
      <c r="L46" s="35"/>
      <c r="O46" s="185"/>
    </row>
    <row r="47" spans="2:31" ht="15" x14ac:dyDescent="0.25">
      <c r="B47" s="54"/>
      <c r="C47" s="128"/>
      <c r="D47" s="88"/>
      <c r="E47" s="1"/>
      <c r="H47" s="329"/>
      <c r="I47" s="128"/>
      <c r="J47" s="129"/>
      <c r="O47" s="185"/>
    </row>
  </sheetData>
  <sheetProtection algorithmName="SHA-512" hashValue="4jFyFlcY+Vt4YP8xGj8AJrLoIMjHL1QfF9qX/lgbf3hDfp1SP2JySscniqbr5h90TMTQ1gnaSQMOnvX3rYLN9w==" saltValue="T7Wj7BAMjoYNG9QntKukBA==" spinCount="100000" sheet="1" formatCells="0" formatColumns="0" formatRows="0" insertColumns="0" insertRows="0" insertHyperlinks="0" deleteColumns="0" deleteRows="0" selectLockedCells="1" sort="0" autoFilter="0" pivotTables="0"/>
  <autoFilter ref="B7:O47" xr:uid="{00000000-0001-0000-0100-000000000000}"/>
  <phoneticPr fontId="29" type="noConversion"/>
  <conditionalFormatting sqref="L1:L1048576">
    <cfRule type="duplicateValues" dxfId="2" priority="1"/>
  </conditionalFormatting>
  <pageMargins left="0.11811023622047245" right="0.19685039370078741" top="0.35433070866141736" bottom="0.35433070866141736" header="0.31496062992125984" footer="0.31496062992125984"/>
  <pageSetup paperSize="9" fitToWidth="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AE155"/>
  <sheetViews>
    <sheetView topLeftCell="C1" zoomScaleNormal="100" workbookViewId="0">
      <selection activeCell="K11" sqref="K11"/>
    </sheetView>
  </sheetViews>
  <sheetFormatPr defaultColWidth="9.140625" defaultRowHeight="12" x14ac:dyDescent="0.2"/>
  <cols>
    <col min="1" max="1" width="5.28515625" style="7" hidden="1" customWidth="1"/>
    <col min="2" max="2" width="3.42578125" style="189" hidden="1" customWidth="1"/>
    <col min="3" max="3" width="3.42578125" style="7" customWidth="1"/>
    <col min="4" max="4" width="21.140625" style="176" customWidth="1"/>
    <col min="5" max="5" width="44.28515625" style="176" customWidth="1"/>
    <col min="6" max="6" width="14.42578125" style="7" customWidth="1"/>
    <col min="7" max="7" width="17" style="7" customWidth="1"/>
    <col min="8" max="8" width="10.85546875" style="7" customWidth="1"/>
    <col min="9" max="9" width="26.85546875" style="7" customWidth="1"/>
    <col min="10" max="10" width="11.85546875" style="7" customWidth="1"/>
    <col min="11" max="11" width="12.5703125" style="7" customWidth="1"/>
    <col min="12" max="12" width="14" style="7" customWidth="1"/>
    <col min="13" max="13" width="15.140625" style="7" customWidth="1"/>
    <col min="14" max="14" width="7.5703125" style="7" customWidth="1"/>
    <col min="15" max="15" width="20.7109375" style="7" customWidth="1"/>
    <col min="16" max="16" width="14.42578125" style="7" customWidth="1"/>
    <col min="17" max="18" width="8.140625" style="7" customWidth="1"/>
    <col min="19" max="19" width="11.85546875" style="7" customWidth="1"/>
    <col min="20" max="20" width="5.5703125" style="7" customWidth="1"/>
    <col min="21" max="21" width="10.85546875" style="7" customWidth="1"/>
    <col min="22" max="22" width="7.140625" style="7" customWidth="1"/>
    <col min="23" max="23" width="8.140625" style="7" customWidth="1"/>
    <col min="24" max="24" width="8.7109375" style="7" customWidth="1"/>
    <col min="25" max="25" width="12.5703125" style="8" hidden="1" customWidth="1"/>
    <col min="26" max="26" width="5.5703125" style="8" hidden="1" customWidth="1"/>
    <col min="27" max="27" width="11.140625" style="8" hidden="1" customWidth="1"/>
    <col min="28" max="28" width="7.42578125" style="9" hidden="1" customWidth="1"/>
    <col min="29" max="29" width="8.7109375" style="10" hidden="1" customWidth="1"/>
    <col min="30" max="30" width="9" style="13" hidden="1" customWidth="1"/>
    <col min="31" max="31" width="9.140625" style="7"/>
    <col min="32" max="32" width="9.42578125" style="7" customWidth="1"/>
    <col min="33" max="33" width="8.28515625" style="7" customWidth="1"/>
    <col min="34" max="34" width="6.7109375" style="7" customWidth="1"/>
    <col min="35" max="35" width="13.85546875" style="7" customWidth="1"/>
    <col min="36" max="36" width="13.85546875" style="7" bestFit="1" customWidth="1"/>
    <col min="37" max="37" width="16.7109375" style="7" customWidth="1"/>
    <col min="38" max="38" width="14.85546875" style="7" customWidth="1"/>
    <col min="39" max="16384" width="9.140625" style="7"/>
  </cols>
  <sheetData>
    <row r="1" spans="1:31" x14ac:dyDescent="0.2">
      <c r="C1" s="177"/>
      <c r="D1" s="348" t="s">
        <v>37</v>
      </c>
      <c r="E1" s="349"/>
      <c r="F1" s="349"/>
      <c r="G1" s="349"/>
      <c r="H1" s="177"/>
      <c r="I1" s="190"/>
      <c r="J1" s="177"/>
      <c r="K1" s="177"/>
      <c r="L1" s="177"/>
      <c r="M1" s="177"/>
      <c r="N1" s="177"/>
      <c r="O1" s="177"/>
      <c r="P1" s="177"/>
      <c r="Q1" s="177"/>
      <c r="R1" s="177"/>
      <c r="S1" s="177"/>
      <c r="T1" s="177"/>
      <c r="U1" s="177"/>
      <c r="V1" s="177"/>
      <c r="W1" s="177"/>
      <c r="X1" s="177"/>
      <c r="Y1" s="177"/>
      <c r="Z1" s="177"/>
      <c r="AA1" s="177"/>
      <c r="AB1" s="177"/>
      <c r="AC1" s="177"/>
      <c r="AD1" s="177"/>
      <c r="AE1" s="177"/>
    </row>
    <row r="2" spans="1:31" s="191" customFormat="1" x14ac:dyDescent="0.2">
      <c r="A2" s="191" t="s">
        <v>44</v>
      </c>
      <c r="B2" s="192">
        <v>1</v>
      </c>
      <c r="C2" s="193">
        <v>2</v>
      </c>
      <c r="D2" s="193">
        <v>3</v>
      </c>
      <c r="E2" s="193">
        <v>4</v>
      </c>
      <c r="F2" s="193">
        <v>5</v>
      </c>
      <c r="G2" s="193">
        <v>8</v>
      </c>
      <c r="H2" s="193">
        <v>9</v>
      </c>
      <c r="I2" s="193"/>
      <c r="J2" s="193"/>
      <c r="K2" s="193"/>
      <c r="L2" s="193"/>
      <c r="M2" s="193"/>
      <c r="N2" s="194"/>
      <c r="O2" s="194"/>
      <c r="P2" s="194"/>
      <c r="Q2" s="194"/>
      <c r="R2" s="194"/>
      <c r="S2" s="194"/>
      <c r="T2" s="194"/>
      <c r="U2" s="194"/>
      <c r="V2" s="194"/>
      <c r="W2" s="194"/>
      <c r="X2" s="194"/>
      <c r="Y2" s="195"/>
      <c r="Z2" s="195"/>
      <c r="AA2" s="195"/>
      <c r="AB2" s="194"/>
      <c r="AC2" s="196"/>
      <c r="AD2" s="197"/>
    </row>
    <row r="3" spans="1:31" ht="112.5" x14ac:dyDescent="0.2">
      <c r="B3" s="188" t="s">
        <v>181</v>
      </c>
      <c r="C3" s="214" t="s">
        <v>27</v>
      </c>
      <c r="D3" s="146" t="s">
        <v>248</v>
      </c>
      <c r="E3" s="148" t="s">
        <v>39</v>
      </c>
      <c r="F3" s="146" t="s">
        <v>52</v>
      </c>
      <c r="G3" s="149" t="s">
        <v>182</v>
      </c>
      <c r="H3" s="198">
        <v>2</v>
      </c>
      <c r="I3" s="199"/>
      <c r="K3" s="175"/>
      <c r="L3" s="200"/>
      <c r="M3" s="200"/>
      <c r="N3" s="201"/>
      <c r="O3" s="201"/>
      <c r="P3" s="201"/>
      <c r="Q3" s="201"/>
      <c r="R3" s="201"/>
      <c r="S3" s="201"/>
      <c r="T3" s="201"/>
      <c r="U3" s="201"/>
      <c r="V3" s="201"/>
      <c r="W3" s="201"/>
      <c r="X3" s="201"/>
      <c r="Y3" s="202"/>
      <c r="Z3" s="202"/>
      <c r="AA3" s="202"/>
      <c r="AB3" s="201"/>
      <c r="AC3" s="203"/>
      <c r="AD3" s="204"/>
    </row>
    <row r="4" spans="1:31" x14ac:dyDescent="0.2">
      <c r="B4" s="332">
        <f>'Анализ рынка'!A8</f>
        <v>1</v>
      </c>
      <c r="C4" s="350">
        <v>1</v>
      </c>
      <c r="D4" s="346" t="str">
        <f>VLOOKUP(B4,'Анализ рынка'!$A$8:$AL$50,6,0)</f>
        <v>Папаверина гидрохлорид 2 % 2 мл №10</v>
      </c>
      <c r="E4" s="205" t="s">
        <v>40</v>
      </c>
      <c r="F4" s="206">
        <f>VLOOKUP(B4,'Анализ рынка'!$A:$AL,31,0)</f>
        <v>6.68</v>
      </c>
      <c r="G4" s="337">
        <f>IFERROR(IFERROR(IFERROR(SMALL(F4:F7,$H$3),SMALL(F4:F7,2)),SMALL(F4:F7,2)),SMALL(F4:F7,1))</f>
        <v>6.68</v>
      </c>
      <c r="H4" s="207"/>
      <c r="I4" s="208"/>
      <c r="J4" s="209"/>
      <c r="L4" s="200"/>
      <c r="M4" s="200"/>
      <c r="N4" s="201"/>
      <c r="O4" s="201"/>
      <c r="P4" s="201"/>
      <c r="Q4" s="201"/>
      <c r="R4" s="201"/>
      <c r="S4" s="201"/>
      <c r="T4" s="201"/>
      <c r="U4" s="201"/>
      <c r="V4" s="201"/>
      <c r="W4" s="201"/>
      <c r="X4" s="201"/>
      <c r="Y4" s="202"/>
      <c r="Z4" s="202"/>
      <c r="AA4" s="202"/>
      <c r="AB4" s="201"/>
      <c r="AC4" s="203"/>
      <c r="AD4" s="204"/>
    </row>
    <row r="5" spans="1:31" x14ac:dyDescent="0.2">
      <c r="B5" s="332"/>
      <c r="C5" s="333"/>
      <c r="D5" s="346"/>
      <c r="E5" s="205" t="s">
        <v>41</v>
      </c>
      <c r="F5" s="206" t="str">
        <f>VLOOKUP(B4,'Тарифный метод'!$A$4:$L$46,11,0)</f>
        <v>Не ЖНВЛП</v>
      </c>
      <c r="G5" s="337"/>
      <c r="H5" s="210"/>
      <c r="I5" s="208"/>
      <c r="J5" s="209"/>
      <c r="L5" s="200"/>
      <c r="M5" s="211"/>
      <c r="N5" s="212"/>
      <c r="O5" s="201"/>
      <c r="P5" s="201"/>
      <c r="Q5" s="201"/>
      <c r="R5" s="201"/>
      <c r="S5" s="201"/>
      <c r="T5" s="201"/>
      <c r="U5" s="201"/>
      <c r="V5" s="201"/>
      <c r="W5" s="201"/>
      <c r="X5" s="201"/>
      <c r="Y5" s="202"/>
      <c r="Z5" s="202"/>
      <c r="AA5" s="202"/>
      <c r="AB5" s="201"/>
      <c r="AC5" s="203"/>
      <c r="AD5" s="204"/>
    </row>
    <row r="6" spans="1:31" x14ac:dyDescent="0.2">
      <c r="B6" s="332"/>
      <c r="C6" s="333"/>
      <c r="D6" s="346"/>
      <c r="E6" s="205" t="s">
        <v>42</v>
      </c>
      <c r="F6" s="206" t="str">
        <f>VLOOKUP(B4,'Средневзвешенная цена'!$D$6:$P$36,9,0)</f>
        <v>нет</v>
      </c>
      <c r="G6" s="337"/>
      <c r="H6" s="207"/>
      <c r="I6" s="208"/>
      <c r="J6" s="209"/>
      <c r="L6" s="200"/>
      <c r="M6" s="200"/>
      <c r="N6" s="201"/>
      <c r="O6" s="201"/>
      <c r="P6" s="201"/>
      <c r="Q6" s="201"/>
      <c r="R6" s="201"/>
      <c r="S6" s="201"/>
      <c r="T6" s="201"/>
      <c r="U6" s="201"/>
      <c r="V6" s="201"/>
      <c r="W6" s="201"/>
      <c r="X6" s="201"/>
      <c r="Y6" s="202"/>
      <c r="Z6" s="202"/>
      <c r="AA6" s="202"/>
      <c r="AB6" s="201"/>
      <c r="AC6" s="203"/>
      <c r="AD6" s="204"/>
    </row>
    <row r="7" spans="1:31" ht="12.75" thickBot="1" x14ac:dyDescent="0.25">
      <c r="B7" s="338"/>
      <c r="C7" s="339"/>
      <c r="D7" s="347"/>
      <c r="E7" s="217" t="s">
        <v>43</v>
      </c>
      <c r="F7" s="218" t="s">
        <v>186</v>
      </c>
      <c r="G7" s="343"/>
      <c r="H7" s="207"/>
      <c r="I7" s="208"/>
      <c r="J7" s="209"/>
      <c r="L7" s="200"/>
      <c r="M7" s="200"/>
      <c r="N7" s="201"/>
      <c r="O7" s="201"/>
      <c r="P7" s="201"/>
      <c r="Q7" s="201"/>
      <c r="R7" s="201"/>
      <c r="S7" s="201"/>
      <c r="T7" s="201"/>
      <c r="U7" s="201"/>
      <c r="V7" s="201"/>
      <c r="W7" s="201"/>
      <c r="X7" s="201"/>
      <c r="Y7" s="202"/>
      <c r="Z7" s="202"/>
      <c r="AA7" s="202"/>
      <c r="AB7" s="201"/>
      <c r="AC7" s="203"/>
      <c r="AD7" s="204"/>
    </row>
    <row r="8" spans="1:31" x14ac:dyDescent="0.2">
      <c r="B8" s="331">
        <v>2</v>
      </c>
      <c r="C8" s="333">
        <v>2</v>
      </c>
      <c r="D8" s="344" t="str">
        <f>VLOOKUP(B8,'Анализ рынка'!$A$8:$AL$50,6,0)</f>
        <v>Анальгин 50 % 2 мл №10</v>
      </c>
      <c r="E8" s="215" t="s">
        <v>40</v>
      </c>
      <c r="F8" s="216">
        <f>VLOOKUP(B8,'Анализ рынка'!$A:$AL,31,0)</f>
        <v>5.14</v>
      </c>
      <c r="G8" s="336">
        <f>IFERROR(IFERROR(IFERROR(SMALL(F8:F11,$H$3),SMALL(F8:F11,2)),SMALL(F8:F11,2)),SMALL(F8:F11,1))</f>
        <v>5.14</v>
      </c>
      <c r="H8" s="207"/>
      <c r="I8" s="208"/>
      <c r="L8" s="200"/>
      <c r="M8" s="200"/>
      <c r="N8" s="201"/>
      <c r="O8" s="201"/>
      <c r="P8" s="201"/>
      <c r="Q8" s="201"/>
      <c r="R8" s="201"/>
      <c r="S8" s="201"/>
      <c r="T8" s="201"/>
      <c r="U8" s="201"/>
      <c r="V8" s="201"/>
      <c r="W8" s="201"/>
      <c r="X8" s="201"/>
      <c r="Y8" s="202"/>
      <c r="Z8" s="202"/>
      <c r="AA8" s="202"/>
      <c r="AB8" s="201"/>
      <c r="AC8" s="203"/>
      <c r="AD8" s="204"/>
    </row>
    <row r="9" spans="1:31" x14ac:dyDescent="0.2">
      <c r="B9" s="332"/>
      <c r="C9" s="333"/>
      <c r="D9" s="346"/>
      <c r="E9" s="205" t="s">
        <v>41</v>
      </c>
      <c r="F9" s="206" t="str">
        <f>VLOOKUP(B8,'Тарифный метод'!$A$4:$L$46,11,0)</f>
        <v>Не ЖНВЛП</v>
      </c>
      <c r="G9" s="337"/>
      <c r="H9" s="207"/>
      <c r="I9" s="208"/>
      <c r="J9" s="209"/>
      <c r="L9" s="200"/>
      <c r="M9" s="200"/>
      <c r="N9" s="201"/>
      <c r="O9" s="201"/>
      <c r="P9" s="201"/>
      <c r="Q9" s="201"/>
      <c r="R9" s="201"/>
      <c r="S9" s="201"/>
      <c r="T9" s="201"/>
      <c r="U9" s="201"/>
      <c r="V9" s="201"/>
      <c r="W9" s="201"/>
      <c r="X9" s="201"/>
      <c r="Y9" s="202"/>
      <c r="Z9" s="202"/>
      <c r="AA9" s="202"/>
      <c r="AB9" s="201"/>
      <c r="AC9" s="203"/>
      <c r="AD9" s="204"/>
    </row>
    <row r="10" spans="1:31" x14ac:dyDescent="0.2">
      <c r="B10" s="332"/>
      <c r="C10" s="333"/>
      <c r="D10" s="346"/>
      <c r="E10" s="205" t="s">
        <v>42</v>
      </c>
      <c r="F10" s="206" t="str">
        <f>VLOOKUP(B8,'Средневзвешенная цена'!$D$6:$P$36,9,0)</f>
        <v>нет</v>
      </c>
      <c r="G10" s="337"/>
      <c r="H10" s="207"/>
      <c r="I10" s="208"/>
      <c r="J10" s="209"/>
      <c r="L10" s="200"/>
      <c r="M10" s="200"/>
      <c r="N10" s="201"/>
      <c r="O10" s="201"/>
      <c r="P10" s="201"/>
      <c r="Q10" s="201"/>
      <c r="R10" s="201"/>
      <c r="S10" s="201"/>
      <c r="T10" s="201"/>
      <c r="U10" s="201"/>
      <c r="V10" s="201"/>
      <c r="W10" s="201"/>
      <c r="X10" s="201"/>
      <c r="Y10" s="202"/>
      <c r="Z10" s="202"/>
      <c r="AA10" s="202"/>
      <c r="AB10" s="201"/>
      <c r="AC10" s="203"/>
      <c r="AD10" s="204"/>
    </row>
    <row r="11" spans="1:31" ht="12.75" thickBot="1" x14ac:dyDescent="0.25">
      <c r="B11" s="338"/>
      <c r="C11" s="339"/>
      <c r="D11" s="347"/>
      <c r="E11" s="217" t="s">
        <v>43</v>
      </c>
      <c r="F11" s="218" t="s">
        <v>186</v>
      </c>
      <c r="G11" s="343"/>
      <c r="H11" s="207"/>
      <c r="I11" s="208"/>
      <c r="J11" s="209"/>
      <c r="L11" s="175"/>
      <c r="M11" s="175"/>
      <c r="N11" s="201"/>
      <c r="O11" s="201"/>
      <c r="P11" s="201"/>
      <c r="Q11" s="201"/>
      <c r="R11" s="201"/>
      <c r="S11" s="201"/>
      <c r="T11" s="201"/>
      <c r="U11" s="201"/>
      <c r="V11" s="201"/>
      <c r="W11" s="201"/>
      <c r="X11" s="201"/>
      <c r="Y11" s="202"/>
      <c r="Z11" s="202"/>
      <c r="AA11" s="202"/>
      <c r="AB11" s="201"/>
      <c r="AC11" s="203"/>
      <c r="AD11" s="204"/>
    </row>
    <row r="12" spans="1:31" x14ac:dyDescent="0.2">
      <c r="B12" s="331">
        <v>3</v>
      </c>
      <c r="C12" s="333">
        <v>3</v>
      </c>
      <c r="D12" s="344" t="str">
        <f>VLOOKUP(B12,'Анализ рынка'!$A$8:$AL$50,6,0)</f>
        <v>Дибазол 1% 1 мл №10</v>
      </c>
      <c r="E12" s="215" t="s">
        <v>40</v>
      </c>
      <c r="F12" s="216">
        <f>VLOOKUP(B12,'Анализ рынка'!$A:$AL,31,0)</f>
        <v>7.63</v>
      </c>
      <c r="G12" s="336">
        <f t="shared" ref="G12" si="0">IFERROR(IFERROR(IFERROR(SMALL(F12:F15,$H$3),SMALL(F12:F15,2)),SMALL(F12:F15,2)),SMALL(F12:F15,1))</f>
        <v>7.63</v>
      </c>
      <c r="H12" s="207"/>
      <c r="I12" s="208"/>
      <c r="J12" s="209"/>
      <c r="L12" s="175"/>
      <c r="M12" s="175"/>
      <c r="N12" s="201"/>
      <c r="O12" s="201"/>
      <c r="P12" s="201"/>
      <c r="Q12" s="201"/>
      <c r="R12" s="201"/>
      <c r="S12" s="201"/>
      <c r="T12" s="201"/>
      <c r="U12" s="201"/>
      <c r="V12" s="201"/>
      <c r="W12" s="201"/>
      <c r="X12" s="201"/>
      <c r="Y12" s="202"/>
      <c r="Z12" s="202"/>
      <c r="AA12" s="202"/>
      <c r="AB12" s="201"/>
      <c r="AC12" s="203"/>
      <c r="AD12" s="204"/>
    </row>
    <row r="13" spans="1:31" x14ac:dyDescent="0.2">
      <c r="B13" s="332"/>
      <c r="C13" s="333"/>
      <c r="D13" s="346"/>
      <c r="E13" s="205" t="s">
        <v>41</v>
      </c>
      <c r="F13" s="206" t="str">
        <f>VLOOKUP(B12,'Тарифный метод'!$A$4:$L$46,11,0)</f>
        <v>Не ЖНВЛП</v>
      </c>
      <c r="G13" s="337"/>
      <c r="H13" s="207"/>
      <c r="I13" s="208"/>
      <c r="J13" s="209"/>
      <c r="L13" s="175"/>
      <c r="M13" s="175"/>
      <c r="N13" s="201"/>
      <c r="O13" s="201"/>
      <c r="P13" s="201"/>
      <c r="Q13" s="201"/>
      <c r="R13" s="201"/>
      <c r="S13" s="201"/>
      <c r="T13" s="201"/>
      <c r="U13" s="201"/>
      <c r="V13" s="201"/>
      <c r="W13" s="201"/>
      <c r="X13" s="201"/>
      <c r="Y13" s="202"/>
      <c r="Z13" s="202"/>
      <c r="AA13" s="202"/>
      <c r="AB13" s="201"/>
      <c r="AC13" s="203"/>
      <c r="AD13" s="204"/>
    </row>
    <row r="14" spans="1:31" x14ac:dyDescent="0.2">
      <c r="B14" s="332"/>
      <c r="C14" s="333"/>
      <c r="D14" s="346"/>
      <c r="E14" s="205" t="s">
        <v>42</v>
      </c>
      <c r="F14" s="206" t="str">
        <f>VLOOKUP(B12,'Средневзвешенная цена'!$D$6:$P$36,9,0)</f>
        <v>нет</v>
      </c>
      <c r="G14" s="337"/>
      <c r="H14" s="207"/>
      <c r="L14" s="175"/>
      <c r="M14" s="175"/>
      <c r="N14" s="201"/>
      <c r="O14" s="201"/>
      <c r="P14" s="201"/>
      <c r="Q14" s="201"/>
      <c r="R14" s="201"/>
      <c r="S14" s="201"/>
      <c r="T14" s="201"/>
      <c r="U14" s="201"/>
      <c r="V14" s="201"/>
      <c r="W14" s="201"/>
      <c r="X14" s="201"/>
      <c r="Y14" s="202"/>
      <c r="Z14" s="202"/>
      <c r="AA14" s="202"/>
      <c r="AB14" s="201"/>
      <c r="AC14" s="203"/>
      <c r="AD14" s="204"/>
    </row>
    <row r="15" spans="1:31" ht="12.75" thickBot="1" x14ac:dyDescent="0.25">
      <c r="B15" s="338"/>
      <c r="C15" s="339"/>
      <c r="D15" s="347"/>
      <c r="E15" s="217" t="s">
        <v>43</v>
      </c>
      <c r="F15" s="218" t="s">
        <v>186</v>
      </c>
      <c r="G15" s="343"/>
      <c r="H15" s="207"/>
      <c r="I15" s="208"/>
      <c r="J15" s="209"/>
      <c r="L15" s="175"/>
      <c r="M15" s="175"/>
      <c r="N15" s="201"/>
      <c r="O15" s="201"/>
      <c r="P15" s="201"/>
      <c r="Q15" s="201"/>
      <c r="R15" s="201"/>
      <c r="S15" s="201"/>
      <c r="T15" s="201"/>
      <c r="U15" s="201"/>
      <c r="V15" s="201"/>
      <c r="W15" s="201"/>
      <c r="X15" s="201"/>
      <c r="Y15" s="202"/>
      <c r="Z15" s="202"/>
      <c r="AA15" s="202"/>
      <c r="AB15" s="201"/>
      <c r="AC15" s="203"/>
      <c r="AD15" s="204"/>
    </row>
    <row r="16" spans="1:31" x14ac:dyDescent="0.2">
      <c r="B16" s="331">
        <v>4</v>
      </c>
      <c r="C16" s="333">
        <v>4</v>
      </c>
      <c r="D16" s="344" t="str">
        <f>VLOOKUP(B16,'Анализ рынка'!$A$8:$AL$50,6,0)</f>
        <v>Димедрол 1% 1 мл №10</v>
      </c>
      <c r="E16" s="215" t="s">
        <v>40</v>
      </c>
      <c r="F16" s="216">
        <f>VLOOKUP(B16,'Анализ рынка'!$A:$AL,31,0)</f>
        <v>6.36</v>
      </c>
      <c r="G16" s="336">
        <f t="shared" ref="G16" si="1">IFERROR(IFERROR(IFERROR(SMALL(F16:F19,$H$3),SMALL(F16:F19,2)),SMALL(F16:F19,2)),SMALL(F16:F19,1))</f>
        <v>6.36</v>
      </c>
      <c r="H16" s="207"/>
      <c r="I16" s="208"/>
      <c r="J16" s="209"/>
      <c r="L16" s="175"/>
      <c r="M16" s="175"/>
      <c r="N16" s="201"/>
      <c r="O16" s="201"/>
      <c r="P16" s="201"/>
      <c r="Q16" s="201"/>
      <c r="R16" s="201"/>
      <c r="S16" s="201"/>
      <c r="T16" s="201"/>
      <c r="U16" s="201"/>
      <c r="V16" s="201"/>
      <c r="W16" s="201"/>
      <c r="X16" s="201"/>
      <c r="Y16" s="202"/>
      <c r="Z16" s="202"/>
      <c r="AA16" s="202"/>
      <c r="AB16" s="201"/>
      <c r="AC16" s="203"/>
      <c r="AD16" s="204"/>
    </row>
    <row r="17" spans="2:30" x14ac:dyDescent="0.2">
      <c r="B17" s="341"/>
      <c r="C17" s="333"/>
      <c r="D17" s="345"/>
      <c r="E17" s="205" t="s">
        <v>41</v>
      </c>
      <c r="F17" s="206" t="str">
        <f>VLOOKUP(B16,'Тарифный метод'!$A$4:$L$46,11,0)</f>
        <v>Не ЖНВЛП</v>
      </c>
      <c r="G17" s="337"/>
      <c r="H17" s="207"/>
      <c r="I17" s="208"/>
      <c r="J17" s="209"/>
      <c r="L17" s="175"/>
      <c r="M17" s="175"/>
      <c r="N17" s="201"/>
      <c r="O17" s="201"/>
      <c r="P17" s="201"/>
      <c r="Q17" s="201"/>
      <c r="R17" s="201"/>
      <c r="S17" s="201"/>
      <c r="T17" s="201"/>
      <c r="U17" s="201"/>
      <c r="V17" s="201"/>
      <c r="W17" s="201"/>
      <c r="X17" s="201"/>
      <c r="Y17" s="202"/>
      <c r="Z17" s="202"/>
      <c r="AA17" s="202"/>
      <c r="AB17" s="201"/>
      <c r="AC17" s="203"/>
      <c r="AD17" s="204"/>
    </row>
    <row r="18" spans="2:30" x14ac:dyDescent="0.2">
      <c r="B18" s="332"/>
      <c r="C18" s="333"/>
      <c r="D18" s="346"/>
      <c r="E18" s="205" t="s">
        <v>42</v>
      </c>
      <c r="F18" s="206" t="str">
        <f>VLOOKUP(B16,'Средневзвешенная цена'!$D$6:$P$36,9,0)</f>
        <v>нет</v>
      </c>
      <c r="G18" s="337"/>
      <c r="H18" s="207"/>
      <c r="I18" s="208"/>
      <c r="J18" s="209"/>
      <c r="L18" s="175"/>
      <c r="M18" s="175"/>
      <c r="N18" s="201"/>
      <c r="O18" s="201"/>
      <c r="P18" s="201"/>
      <c r="Q18" s="201"/>
      <c r="R18" s="201"/>
      <c r="S18" s="201"/>
      <c r="T18" s="201"/>
      <c r="U18" s="201"/>
      <c r="V18" s="201"/>
      <c r="W18" s="201"/>
      <c r="X18" s="201"/>
      <c r="Y18" s="202"/>
      <c r="Z18" s="202"/>
      <c r="AA18" s="202"/>
      <c r="AB18" s="201"/>
      <c r="AC18" s="203"/>
      <c r="AD18" s="204"/>
    </row>
    <row r="19" spans="2:30" ht="12.75" thickBot="1" x14ac:dyDescent="0.25">
      <c r="B19" s="338"/>
      <c r="C19" s="339"/>
      <c r="D19" s="347"/>
      <c r="E19" s="217" t="s">
        <v>43</v>
      </c>
      <c r="F19" s="218" t="s">
        <v>186</v>
      </c>
      <c r="G19" s="343"/>
      <c r="H19" s="207"/>
      <c r="I19" s="208"/>
      <c r="J19" s="209"/>
      <c r="L19" s="175"/>
      <c r="M19" s="175"/>
      <c r="N19" s="201"/>
      <c r="O19" s="201"/>
      <c r="P19" s="201"/>
      <c r="Q19" s="201"/>
      <c r="R19" s="201"/>
      <c r="S19" s="201"/>
      <c r="T19" s="201"/>
      <c r="U19" s="201"/>
      <c r="V19" s="201"/>
      <c r="W19" s="201"/>
      <c r="X19" s="201"/>
      <c r="Y19" s="202"/>
      <c r="Z19" s="202"/>
      <c r="AA19" s="202"/>
      <c r="AB19" s="201"/>
      <c r="AC19" s="203"/>
      <c r="AD19" s="204"/>
    </row>
    <row r="20" spans="2:30" x14ac:dyDescent="0.2">
      <c r="B20" s="331">
        <v>6</v>
      </c>
      <c r="C20" s="333">
        <v>5</v>
      </c>
      <c r="D20" s="344" t="str">
        <f>VLOOKUP(B20,'Анализ рынка'!$A$8:$AL$50,6,0)</f>
        <v>Адреналина гидрохлорид 0,1% 1 мл №5</v>
      </c>
      <c r="E20" s="215" t="s">
        <v>40</v>
      </c>
      <c r="F20" s="216">
        <f>VLOOKUP(B20,'Анализ рынка'!$A:$AL,31,0)</f>
        <v>23.54</v>
      </c>
      <c r="G20" s="336">
        <f t="shared" ref="G20" si="2">IFERROR(IFERROR(IFERROR(SMALL(F20:F23,$H$3),SMALL(F20:F23,2)),SMALL(F20:F23,2)),SMALL(F20:F23,1))</f>
        <v>23.54</v>
      </c>
      <c r="H20" s="207"/>
      <c r="I20" s="208"/>
      <c r="J20" s="209"/>
      <c r="L20" s="175"/>
      <c r="M20" s="175"/>
      <c r="N20" s="201"/>
      <c r="O20" s="201"/>
      <c r="P20" s="201"/>
      <c r="Q20" s="201"/>
      <c r="R20" s="201"/>
      <c r="S20" s="201"/>
      <c r="T20" s="201"/>
      <c r="U20" s="201"/>
      <c r="V20" s="201"/>
      <c r="W20" s="201"/>
      <c r="X20" s="201"/>
      <c r="Y20" s="202"/>
      <c r="Z20" s="202"/>
      <c r="AA20" s="202"/>
      <c r="AB20" s="201"/>
      <c r="AC20" s="203"/>
      <c r="AD20" s="204"/>
    </row>
    <row r="21" spans="2:30" x14ac:dyDescent="0.2">
      <c r="B21" s="332"/>
      <c r="C21" s="333"/>
      <c r="D21" s="346"/>
      <c r="E21" s="205" t="s">
        <v>41</v>
      </c>
      <c r="F21" s="206">
        <f>VLOOKUP(B20,'Тарифный метод'!$A$4:$L$46,11,0)</f>
        <v>8.7059999999999995</v>
      </c>
      <c r="G21" s="337"/>
      <c r="H21" s="207"/>
      <c r="I21" s="208"/>
      <c r="J21" s="209"/>
      <c r="L21" s="175"/>
      <c r="M21" s="175"/>
      <c r="N21" s="201"/>
      <c r="O21" s="201"/>
      <c r="P21" s="201"/>
      <c r="Q21" s="201"/>
      <c r="R21" s="201"/>
      <c r="S21" s="201"/>
      <c r="T21" s="201"/>
      <c r="U21" s="201"/>
      <c r="V21" s="201"/>
      <c r="W21" s="201"/>
      <c r="X21" s="201"/>
      <c r="Y21" s="202"/>
      <c r="Z21" s="202"/>
      <c r="AA21" s="202"/>
      <c r="AB21" s="201"/>
      <c r="AC21" s="203"/>
      <c r="AD21" s="204"/>
    </row>
    <row r="22" spans="2:30" x14ac:dyDescent="0.2">
      <c r="B22" s="332"/>
      <c r="C22" s="333"/>
      <c r="D22" s="346"/>
      <c r="E22" s="205" t="s">
        <v>42</v>
      </c>
      <c r="F22" s="206" t="str">
        <f>VLOOKUP(B20,'Средневзвешенная цена'!$D$6:$P$36,9,0)</f>
        <v>нет</v>
      </c>
      <c r="G22" s="337"/>
      <c r="H22" s="207"/>
      <c r="J22" s="209"/>
      <c r="L22" s="175"/>
      <c r="M22" s="175"/>
      <c r="N22" s="201"/>
      <c r="O22" s="201"/>
      <c r="P22" s="201"/>
      <c r="Q22" s="201"/>
      <c r="R22" s="201"/>
      <c r="S22" s="201"/>
      <c r="T22" s="201"/>
      <c r="U22" s="201"/>
      <c r="V22" s="201"/>
      <c r="W22" s="201"/>
      <c r="X22" s="201"/>
      <c r="Y22" s="202"/>
      <c r="Z22" s="202"/>
      <c r="AA22" s="202"/>
      <c r="AB22" s="201"/>
      <c r="AC22" s="203"/>
      <c r="AD22" s="204"/>
    </row>
    <row r="23" spans="2:30" ht="12.75" thickBot="1" x14ac:dyDescent="0.25">
      <c r="B23" s="338"/>
      <c r="C23" s="339"/>
      <c r="D23" s="347"/>
      <c r="E23" s="217" t="s">
        <v>43</v>
      </c>
      <c r="F23" s="218" t="s">
        <v>186</v>
      </c>
      <c r="G23" s="343"/>
      <c r="H23" s="207"/>
      <c r="L23" s="175"/>
      <c r="M23" s="175"/>
      <c r="N23" s="201"/>
      <c r="O23" s="201"/>
      <c r="P23" s="201"/>
      <c r="Q23" s="201"/>
      <c r="R23" s="201"/>
      <c r="S23" s="201"/>
      <c r="T23" s="201"/>
      <c r="U23" s="201"/>
      <c r="V23" s="201"/>
      <c r="W23" s="201"/>
      <c r="X23" s="201"/>
      <c r="Y23" s="202"/>
      <c r="Z23" s="202"/>
      <c r="AA23" s="202"/>
      <c r="AB23" s="201"/>
      <c r="AC23" s="203"/>
      <c r="AD23" s="204"/>
    </row>
    <row r="24" spans="2:30" x14ac:dyDescent="0.2">
      <c r="B24" s="331">
        <v>7</v>
      </c>
      <c r="C24" s="333">
        <v>6</v>
      </c>
      <c r="D24" s="344" t="str">
        <f>VLOOKUP(B24,'Анализ рынка'!$A$8:$AL$50,6,0)</f>
        <v>Фуросемид 1% 2 мл 10</v>
      </c>
      <c r="E24" s="215" t="s">
        <v>40</v>
      </c>
      <c r="F24" s="216">
        <f>VLOOKUP(B24,'Анализ рынка'!$A:$AL,31,0)</f>
        <v>3.95</v>
      </c>
      <c r="G24" s="336">
        <f>IFERROR(IFERROR(IFERROR(SMALL(F24:F27,$H$3),SMALL(F24:F27,2)),SMALL(F24:F27,2)),SMALL(F24:F27,1))</f>
        <v>3.95</v>
      </c>
      <c r="H24" s="207"/>
      <c r="I24" s="208"/>
      <c r="J24" s="209"/>
      <c r="L24" s="175"/>
      <c r="M24" s="175"/>
      <c r="N24" s="201"/>
      <c r="O24" s="201"/>
      <c r="P24" s="201"/>
      <c r="Q24" s="201"/>
      <c r="R24" s="201"/>
      <c r="S24" s="201"/>
      <c r="T24" s="201"/>
      <c r="U24" s="201"/>
      <c r="V24" s="201"/>
      <c r="W24" s="201"/>
      <c r="X24" s="201"/>
      <c r="Y24" s="202"/>
      <c r="Z24" s="202"/>
      <c r="AA24" s="202"/>
      <c r="AB24" s="201"/>
      <c r="AC24" s="203"/>
      <c r="AD24" s="204"/>
    </row>
    <row r="25" spans="2:30" x14ac:dyDescent="0.2">
      <c r="B25" s="341"/>
      <c r="C25" s="333"/>
      <c r="D25" s="345"/>
      <c r="E25" s="205" t="s">
        <v>41</v>
      </c>
      <c r="F25" s="206">
        <f>VLOOKUP(B24,'Тарифный метод'!$A$4:$L$46,11,0)</f>
        <v>0.71900000000000008</v>
      </c>
      <c r="G25" s="337"/>
      <c r="H25" s="207"/>
      <c r="I25" s="208"/>
      <c r="J25" s="209"/>
      <c r="L25" s="175"/>
      <c r="M25" s="175"/>
      <c r="N25" s="201"/>
      <c r="O25" s="201"/>
      <c r="P25" s="201"/>
      <c r="Q25" s="201"/>
      <c r="R25" s="201"/>
      <c r="S25" s="201"/>
      <c r="T25" s="201"/>
      <c r="U25" s="201"/>
      <c r="V25" s="201"/>
      <c r="W25" s="201"/>
      <c r="X25" s="201"/>
      <c r="Y25" s="202"/>
      <c r="Z25" s="202"/>
      <c r="AA25" s="202"/>
      <c r="AB25" s="201"/>
      <c r="AC25" s="203"/>
      <c r="AD25" s="204"/>
    </row>
    <row r="26" spans="2:30" x14ac:dyDescent="0.2">
      <c r="B26" s="332"/>
      <c r="C26" s="333"/>
      <c r="D26" s="346"/>
      <c r="E26" s="205" t="s">
        <v>42</v>
      </c>
      <c r="F26" s="206" t="str">
        <f>VLOOKUP(B24,'Средневзвешенная цена'!$D$6:$P$36,9,0)</f>
        <v>нет</v>
      </c>
      <c r="G26" s="337"/>
      <c r="H26" s="207"/>
      <c r="I26" s="208"/>
      <c r="J26" s="209"/>
      <c r="L26" s="175"/>
      <c r="M26" s="175"/>
      <c r="N26" s="201"/>
      <c r="O26" s="201"/>
      <c r="P26" s="201"/>
      <c r="Q26" s="201"/>
      <c r="R26" s="201"/>
      <c r="S26" s="201"/>
      <c r="T26" s="201"/>
      <c r="U26" s="201"/>
      <c r="V26" s="201"/>
      <c r="W26" s="201"/>
      <c r="X26" s="201"/>
      <c r="Y26" s="202"/>
      <c r="Z26" s="202"/>
      <c r="AA26" s="202"/>
      <c r="AB26" s="201"/>
      <c r="AC26" s="203"/>
      <c r="AD26" s="204"/>
    </row>
    <row r="27" spans="2:30" ht="12.75" thickBot="1" x14ac:dyDescent="0.25">
      <c r="B27" s="338"/>
      <c r="C27" s="339"/>
      <c r="D27" s="347"/>
      <c r="E27" s="217" t="s">
        <v>43</v>
      </c>
      <c r="F27" s="218" t="s">
        <v>186</v>
      </c>
      <c r="G27" s="343"/>
      <c r="H27" s="207"/>
      <c r="I27" s="208"/>
      <c r="J27" s="209"/>
      <c r="K27" s="175"/>
      <c r="L27" s="175"/>
      <c r="M27" s="175"/>
      <c r="N27" s="201"/>
      <c r="O27" s="201"/>
      <c r="P27" s="201"/>
      <c r="Q27" s="201"/>
      <c r="R27" s="201"/>
      <c r="S27" s="201"/>
      <c r="T27" s="201"/>
      <c r="U27" s="201"/>
      <c r="V27" s="201"/>
      <c r="W27" s="201"/>
      <c r="X27" s="201"/>
      <c r="Y27" s="202"/>
      <c r="Z27" s="202"/>
      <c r="AA27" s="202"/>
      <c r="AB27" s="201"/>
      <c r="AC27" s="203"/>
      <c r="AD27" s="204"/>
    </row>
    <row r="28" spans="2:30" x14ac:dyDescent="0.2">
      <c r="B28" s="331">
        <v>8</v>
      </c>
      <c r="C28" s="333">
        <v>7</v>
      </c>
      <c r="D28" s="344" t="str">
        <f>VLOOKUP(B28,'Анализ рынка'!$A$8:$AL$50,6,0)</f>
        <v>Эуфиллин 2,4% 5 мл №10</v>
      </c>
      <c r="E28" s="215" t="s">
        <v>40</v>
      </c>
      <c r="F28" s="216">
        <f>VLOOKUP(B28,'Анализ рынка'!$A:$AL,31,0)</f>
        <v>1.81</v>
      </c>
      <c r="G28" s="336">
        <f t="shared" ref="G28" si="3">IFERROR(IFERROR(IFERROR(SMALL(F28:F31,$H$3),SMALL(F28:F31,2)),SMALL(F28:F31,2)),SMALL(F28:F31,1))</f>
        <v>1.81</v>
      </c>
      <c r="H28" s="207"/>
      <c r="I28" s="208"/>
      <c r="J28" s="209"/>
      <c r="K28" s="175"/>
      <c r="L28" s="175"/>
      <c r="M28" s="175"/>
      <c r="N28" s="201"/>
      <c r="O28" s="201"/>
      <c r="P28" s="201"/>
      <c r="Q28" s="201"/>
      <c r="R28" s="201"/>
      <c r="S28" s="201"/>
      <c r="T28" s="201"/>
      <c r="U28" s="201"/>
      <c r="V28" s="201"/>
      <c r="W28" s="201"/>
      <c r="X28" s="201"/>
      <c r="Y28" s="202"/>
      <c r="Z28" s="202"/>
      <c r="AA28" s="202"/>
      <c r="AB28" s="201"/>
      <c r="AC28" s="203"/>
      <c r="AD28" s="204"/>
    </row>
    <row r="29" spans="2:30" x14ac:dyDescent="0.2">
      <c r="B29" s="341"/>
      <c r="C29" s="333"/>
      <c r="D29" s="345"/>
      <c r="E29" s="205" t="s">
        <v>41</v>
      </c>
      <c r="F29" s="206">
        <f>VLOOKUP(B28,'Тарифный метод'!$A$4:$L$46,11,0)</f>
        <v>0.4042</v>
      </c>
      <c r="G29" s="337"/>
      <c r="H29" s="207"/>
      <c r="I29" s="208"/>
      <c r="J29" s="209"/>
      <c r="K29" s="175"/>
      <c r="L29" s="175"/>
      <c r="M29" s="175"/>
      <c r="N29" s="201"/>
      <c r="O29" s="201"/>
      <c r="P29" s="201"/>
      <c r="Q29" s="201"/>
      <c r="R29" s="201"/>
      <c r="S29" s="201"/>
      <c r="T29" s="201"/>
      <c r="U29" s="201"/>
      <c r="V29" s="201"/>
      <c r="W29" s="201"/>
      <c r="X29" s="201"/>
      <c r="Y29" s="202"/>
      <c r="Z29" s="202"/>
      <c r="AA29" s="202"/>
      <c r="AB29" s="201"/>
      <c r="AC29" s="203"/>
      <c r="AD29" s="204"/>
    </row>
    <row r="30" spans="2:30" x14ac:dyDescent="0.2">
      <c r="B30" s="332"/>
      <c r="C30" s="333"/>
      <c r="D30" s="346"/>
      <c r="E30" s="205" t="s">
        <v>42</v>
      </c>
      <c r="F30" s="206" t="str">
        <f>VLOOKUP(B28,'Средневзвешенная цена'!$D$6:$P$36,9,0)</f>
        <v>нет</v>
      </c>
      <c r="G30" s="337"/>
      <c r="H30" s="207"/>
      <c r="I30" s="208"/>
      <c r="J30" s="209"/>
      <c r="K30" s="175"/>
      <c r="L30" s="175"/>
      <c r="M30" s="175"/>
      <c r="N30" s="201"/>
      <c r="O30" s="201"/>
      <c r="P30" s="201"/>
      <c r="Q30" s="201"/>
      <c r="R30" s="201"/>
      <c r="S30" s="201"/>
      <c r="T30" s="201"/>
      <c r="U30" s="201"/>
      <c r="V30" s="201"/>
      <c r="W30" s="201"/>
      <c r="X30" s="201"/>
      <c r="Y30" s="202"/>
      <c r="Z30" s="202"/>
      <c r="AA30" s="202"/>
      <c r="AB30" s="201"/>
      <c r="AC30" s="203"/>
      <c r="AD30" s="204"/>
    </row>
    <row r="31" spans="2:30" ht="12.75" thickBot="1" x14ac:dyDescent="0.25">
      <c r="B31" s="338"/>
      <c r="C31" s="339"/>
      <c r="D31" s="347"/>
      <c r="E31" s="217" t="s">
        <v>43</v>
      </c>
      <c r="F31" s="218" t="s">
        <v>186</v>
      </c>
      <c r="G31" s="343"/>
      <c r="H31" s="207"/>
      <c r="J31" s="209"/>
      <c r="K31" s="8"/>
      <c r="L31" s="175"/>
      <c r="M31" s="175"/>
      <c r="N31" s="201"/>
      <c r="O31" s="201"/>
      <c r="P31" s="201"/>
      <c r="Q31" s="201"/>
      <c r="R31" s="201"/>
      <c r="S31" s="201"/>
      <c r="T31" s="201"/>
      <c r="U31" s="201"/>
      <c r="V31" s="201"/>
      <c r="W31" s="201"/>
      <c r="X31" s="201"/>
      <c r="Y31" s="202"/>
      <c r="Z31" s="202"/>
      <c r="AA31" s="202"/>
      <c r="AB31" s="201"/>
      <c r="AC31" s="203"/>
      <c r="AD31" s="204"/>
    </row>
    <row r="32" spans="2:30" x14ac:dyDescent="0.2">
      <c r="B32" s="331">
        <v>9</v>
      </c>
      <c r="C32" s="333">
        <v>8</v>
      </c>
      <c r="D32" s="344" t="str">
        <f>VLOOKUP(B32,'Анализ рынка'!$A$8:$AL$50,6,0)</f>
        <v>Пустырника настойка 25 мл</v>
      </c>
      <c r="E32" s="215" t="s">
        <v>40</v>
      </c>
      <c r="F32" s="216">
        <f>VLOOKUP(B32,'Анализ рынка'!$A:$AL,31,0)</f>
        <v>1.8</v>
      </c>
      <c r="G32" s="336">
        <f t="shared" ref="G32" si="4">IFERROR(IFERROR(IFERROR(SMALL(F32:F35,$H$3),SMALL(F32:F35,2)),SMALL(F32:F35,2)),SMALL(F32:F35,1))</f>
        <v>1.8</v>
      </c>
      <c r="H32" s="207"/>
      <c r="I32" s="208"/>
      <c r="L32" s="175"/>
      <c r="M32" s="175"/>
      <c r="N32" s="201"/>
      <c r="O32" s="201"/>
      <c r="P32" s="201"/>
      <c r="Q32" s="201"/>
      <c r="R32" s="201"/>
      <c r="S32" s="201"/>
      <c r="T32" s="201"/>
      <c r="U32" s="201"/>
      <c r="V32" s="201"/>
      <c r="W32" s="201"/>
      <c r="X32" s="201"/>
      <c r="Y32" s="202"/>
      <c r="Z32" s="202"/>
      <c r="AA32" s="202"/>
      <c r="AB32" s="201"/>
      <c r="AC32" s="203"/>
      <c r="AD32" s="204"/>
    </row>
    <row r="33" spans="2:30" x14ac:dyDescent="0.2">
      <c r="B33" s="332"/>
      <c r="C33" s="333"/>
      <c r="D33" s="346"/>
      <c r="E33" s="205" t="s">
        <v>41</v>
      </c>
      <c r="F33" s="206" t="str">
        <f>VLOOKUP(B32,'Тарифный метод'!$A$4:$L$46,11,0)</f>
        <v>Не ЖНВЛП</v>
      </c>
      <c r="G33" s="337"/>
      <c r="H33" s="207"/>
      <c r="I33" s="208"/>
      <c r="J33" s="209"/>
      <c r="K33" s="8"/>
      <c r="L33" s="175"/>
      <c r="M33" s="175"/>
      <c r="N33" s="201"/>
      <c r="O33" s="201"/>
      <c r="P33" s="201"/>
      <c r="Q33" s="201"/>
      <c r="R33" s="201"/>
      <c r="S33" s="201"/>
      <c r="T33" s="201"/>
      <c r="U33" s="201"/>
      <c r="V33" s="201"/>
      <c r="W33" s="201"/>
      <c r="X33" s="201"/>
      <c r="Y33" s="202"/>
      <c r="Z33" s="202"/>
      <c r="AA33" s="202"/>
      <c r="AB33" s="201"/>
      <c r="AC33" s="203"/>
      <c r="AD33" s="204"/>
    </row>
    <row r="34" spans="2:30" x14ac:dyDescent="0.2">
      <c r="B34" s="332"/>
      <c r="C34" s="333"/>
      <c r="D34" s="346"/>
      <c r="E34" s="205" t="s">
        <v>42</v>
      </c>
      <c r="F34" s="206" t="str">
        <f>VLOOKUP(B32,'Средневзвешенная цена'!$D$6:$P$36,9,0)</f>
        <v>нет</v>
      </c>
      <c r="G34" s="337"/>
      <c r="H34" s="207"/>
      <c r="I34" s="208"/>
      <c r="J34" s="209"/>
      <c r="K34" s="8"/>
      <c r="L34" s="175"/>
      <c r="M34" s="175"/>
      <c r="N34" s="201"/>
      <c r="O34" s="201"/>
      <c r="P34" s="201"/>
      <c r="Q34" s="201"/>
      <c r="R34" s="201"/>
      <c r="S34" s="201"/>
      <c r="T34" s="201"/>
      <c r="U34" s="201"/>
      <c r="V34" s="201"/>
      <c r="W34" s="201"/>
      <c r="X34" s="201"/>
      <c r="Y34" s="202"/>
      <c r="Z34" s="202"/>
      <c r="AA34" s="202"/>
      <c r="AB34" s="201"/>
      <c r="AC34" s="203"/>
      <c r="AD34" s="204"/>
    </row>
    <row r="35" spans="2:30" ht="12.75" thickBot="1" x14ac:dyDescent="0.25">
      <c r="B35" s="338"/>
      <c r="C35" s="339"/>
      <c r="D35" s="347"/>
      <c r="E35" s="217" t="s">
        <v>43</v>
      </c>
      <c r="F35" s="218" t="s">
        <v>186</v>
      </c>
      <c r="G35" s="343"/>
      <c r="H35" s="207"/>
      <c r="I35" s="208"/>
      <c r="J35" s="209"/>
      <c r="K35" s="8"/>
      <c r="L35" s="175"/>
      <c r="M35" s="175"/>
      <c r="N35" s="201"/>
      <c r="O35" s="201"/>
      <c r="P35" s="201"/>
      <c r="Q35" s="201"/>
      <c r="R35" s="201"/>
      <c r="S35" s="201"/>
      <c r="T35" s="201"/>
      <c r="U35" s="201"/>
      <c r="V35" s="201"/>
      <c r="W35" s="201"/>
      <c r="X35" s="201"/>
      <c r="Y35" s="202"/>
      <c r="Z35" s="202"/>
      <c r="AA35" s="202"/>
      <c r="AB35" s="201"/>
      <c r="AC35" s="203"/>
      <c r="AD35" s="204"/>
    </row>
    <row r="36" spans="2:30" x14ac:dyDescent="0.2">
      <c r="B36" s="331">
        <v>10</v>
      </c>
      <c r="C36" s="333">
        <v>9</v>
      </c>
      <c r="D36" s="344" t="str">
        <f>VLOOKUP(B36,'Анализ рынка'!$A$8:$AL$50,6,0)</f>
        <v>Валерианы настойка 25 мл</v>
      </c>
      <c r="E36" s="215" t="s">
        <v>40</v>
      </c>
      <c r="F36" s="216">
        <f>VLOOKUP(B36,'Анализ рынка'!$A:$AL,31,0)</f>
        <v>2.54</v>
      </c>
      <c r="G36" s="336">
        <f t="shared" ref="G36" si="5">IFERROR(IFERROR(IFERROR(SMALL(F36:F39,$H$3),SMALL(F36:F39,2)),SMALL(F36:F39,2)),SMALL(F36:F39,1))</f>
        <v>2.54</v>
      </c>
      <c r="H36" s="207"/>
      <c r="I36" s="208"/>
      <c r="J36" s="209"/>
      <c r="K36" s="8"/>
      <c r="L36" s="175"/>
      <c r="M36" s="175"/>
      <c r="N36" s="201"/>
      <c r="O36" s="201"/>
      <c r="P36" s="201"/>
      <c r="Q36" s="201"/>
      <c r="R36" s="201"/>
      <c r="S36" s="201"/>
      <c r="T36" s="201"/>
      <c r="U36" s="201"/>
      <c r="V36" s="201"/>
      <c r="W36" s="201"/>
      <c r="X36" s="201"/>
      <c r="Y36" s="202"/>
      <c r="Z36" s="202"/>
      <c r="AA36" s="202"/>
      <c r="AB36" s="201"/>
      <c r="AC36" s="203"/>
      <c r="AD36" s="204"/>
    </row>
    <row r="37" spans="2:30" x14ac:dyDescent="0.2">
      <c r="B37" s="332"/>
      <c r="C37" s="333"/>
      <c r="D37" s="346"/>
      <c r="E37" s="205" t="s">
        <v>41</v>
      </c>
      <c r="F37" s="206" t="str">
        <f>VLOOKUP(B36,'Тарифный метод'!$A$4:$L$46,11,0)</f>
        <v>Не ЖНВЛП</v>
      </c>
      <c r="G37" s="337"/>
      <c r="H37" s="207"/>
      <c r="I37" s="208"/>
      <c r="J37" s="209"/>
      <c r="K37" s="8"/>
      <c r="L37" s="175"/>
      <c r="M37" s="175"/>
      <c r="N37" s="201"/>
      <c r="O37" s="201"/>
      <c r="P37" s="201"/>
      <c r="Q37" s="201"/>
      <c r="R37" s="201"/>
      <c r="S37" s="201"/>
      <c r="T37" s="201"/>
      <c r="U37" s="201"/>
      <c r="V37" s="201"/>
      <c r="W37" s="201"/>
      <c r="X37" s="201"/>
      <c r="Y37" s="202"/>
      <c r="Z37" s="202"/>
      <c r="AA37" s="202"/>
      <c r="AB37" s="201"/>
      <c r="AC37" s="203"/>
      <c r="AD37" s="204"/>
    </row>
    <row r="38" spans="2:30" x14ac:dyDescent="0.2">
      <c r="B38" s="332"/>
      <c r="C38" s="333"/>
      <c r="D38" s="346"/>
      <c r="E38" s="205" t="s">
        <v>42</v>
      </c>
      <c r="F38" s="206" t="str">
        <f>VLOOKUP(B36,'Средневзвешенная цена'!$D$6:$P$36,9,0)</f>
        <v>нет</v>
      </c>
      <c r="G38" s="337"/>
      <c r="H38" s="207"/>
      <c r="I38" s="208"/>
      <c r="J38" s="209"/>
      <c r="K38" s="8"/>
      <c r="L38" s="175"/>
      <c r="M38" s="175"/>
      <c r="N38" s="201"/>
      <c r="O38" s="201"/>
      <c r="P38" s="201"/>
      <c r="Q38" s="201"/>
      <c r="R38" s="201"/>
      <c r="S38" s="201"/>
      <c r="T38" s="201"/>
      <c r="U38" s="201"/>
      <c r="V38" s="201"/>
      <c r="W38" s="201"/>
      <c r="X38" s="201"/>
      <c r="Y38" s="202"/>
      <c r="Z38" s="202"/>
      <c r="AA38" s="202"/>
      <c r="AB38" s="201"/>
      <c r="AC38" s="203"/>
      <c r="AD38" s="204"/>
    </row>
    <row r="39" spans="2:30" ht="12.75" thickBot="1" x14ac:dyDescent="0.25">
      <c r="B39" s="338"/>
      <c r="C39" s="339"/>
      <c r="D39" s="347"/>
      <c r="E39" s="217" t="s">
        <v>43</v>
      </c>
      <c r="F39" s="218" t="s">
        <v>186</v>
      </c>
      <c r="G39" s="343"/>
      <c r="H39" s="207"/>
      <c r="I39" s="208"/>
      <c r="J39" s="209"/>
      <c r="K39" s="8"/>
      <c r="L39" s="175"/>
      <c r="M39" s="175"/>
      <c r="N39" s="201"/>
      <c r="O39" s="201"/>
      <c r="P39" s="201"/>
      <c r="Q39" s="201"/>
      <c r="R39" s="201"/>
      <c r="S39" s="201"/>
      <c r="T39" s="201"/>
      <c r="U39" s="201"/>
      <c r="V39" s="201"/>
      <c r="W39" s="201"/>
      <c r="X39" s="201"/>
      <c r="Y39" s="202"/>
      <c r="Z39" s="202"/>
      <c r="AA39" s="202"/>
      <c r="AB39" s="201"/>
      <c r="AC39" s="203"/>
      <c r="AD39" s="204"/>
    </row>
    <row r="40" spans="2:30" x14ac:dyDescent="0.2">
      <c r="B40" s="331">
        <v>12</v>
      </c>
      <c r="C40" s="333">
        <v>10</v>
      </c>
      <c r="D40" s="344" t="str">
        <f>VLOOKUP(B40,'Анализ рынка'!$A$8:$AL$50,6,0)</f>
        <v>Андипал 20 мг+250 мг+20 мг+ 20 мг №10</v>
      </c>
      <c r="E40" s="215" t="s">
        <v>40</v>
      </c>
      <c r="F40" s="216">
        <f>VLOOKUP(B40,'Анализ рынка'!$A:$AL,31,0)</f>
        <v>4.18</v>
      </c>
      <c r="G40" s="336">
        <f t="shared" ref="G40" si="6">IFERROR(IFERROR(IFERROR(SMALL(F40:F43,$H$3),SMALL(F40:F43,2)),SMALL(F40:F43,2)),SMALL(F40:F43,1))</f>
        <v>4.18</v>
      </c>
      <c r="H40" s="207"/>
      <c r="I40" s="208"/>
      <c r="J40" s="209"/>
      <c r="K40" s="8"/>
      <c r="L40" s="175"/>
      <c r="M40" s="175"/>
      <c r="N40" s="201"/>
      <c r="O40" s="201"/>
      <c r="P40" s="201"/>
      <c r="Q40" s="201"/>
      <c r="R40" s="201"/>
      <c r="S40" s="201"/>
      <c r="T40" s="201"/>
      <c r="U40" s="201"/>
      <c r="V40" s="201"/>
      <c r="W40" s="201"/>
      <c r="X40" s="201"/>
      <c r="Y40" s="202"/>
      <c r="Z40" s="202"/>
      <c r="AA40" s="202"/>
      <c r="AB40" s="201"/>
      <c r="AC40" s="203"/>
      <c r="AD40" s="204"/>
    </row>
    <row r="41" spans="2:30" x14ac:dyDescent="0.2">
      <c r="B41" s="332"/>
      <c r="C41" s="333"/>
      <c r="D41" s="346"/>
      <c r="E41" s="205" t="s">
        <v>41</v>
      </c>
      <c r="F41" s="206" t="str">
        <f>VLOOKUP(B40,'Тарифный метод'!$A$4:$L$46,11,0)</f>
        <v>Не ЖНВЛП</v>
      </c>
      <c r="G41" s="337"/>
      <c r="H41" s="207"/>
      <c r="I41" s="208"/>
      <c r="J41" s="209"/>
      <c r="K41" s="8"/>
      <c r="L41" s="175"/>
      <c r="M41" s="175"/>
      <c r="N41" s="201"/>
      <c r="O41" s="201"/>
      <c r="P41" s="201"/>
      <c r="Q41" s="201"/>
      <c r="R41" s="201"/>
      <c r="S41" s="201"/>
      <c r="T41" s="201"/>
      <c r="U41" s="201"/>
      <c r="V41" s="201"/>
      <c r="W41" s="201"/>
      <c r="X41" s="201"/>
      <c r="Y41" s="202"/>
      <c r="Z41" s="202"/>
      <c r="AA41" s="202"/>
      <c r="AB41" s="201"/>
      <c r="AC41" s="203"/>
      <c r="AD41" s="204"/>
    </row>
    <row r="42" spans="2:30" x14ac:dyDescent="0.2">
      <c r="B42" s="332"/>
      <c r="C42" s="333"/>
      <c r="D42" s="346"/>
      <c r="E42" s="205" t="s">
        <v>42</v>
      </c>
      <c r="F42" s="206" t="str">
        <f>VLOOKUP(B40,'Средневзвешенная цена'!$D$6:$P$36,9,0)</f>
        <v>нет</v>
      </c>
      <c r="G42" s="337"/>
      <c r="H42" s="207"/>
      <c r="I42" s="208"/>
      <c r="J42" s="209"/>
      <c r="K42" s="8"/>
      <c r="L42" s="175"/>
      <c r="M42" s="175"/>
      <c r="N42" s="201"/>
      <c r="O42" s="201"/>
      <c r="P42" s="201"/>
      <c r="Q42" s="201"/>
      <c r="R42" s="201"/>
      <c r="S42" s="201"/>
      <c r="T42" s="201"/>
      <c r="U42" s="201"/>
      <c r="V42" s="201"/>
      <c r="W42" s="201"/>
      <c r="X42" s="201"/>
      <c r="Y42" s="202"/>
      <c r="Z42" s="202"/>
      <c r="AA42" s="202"/>
      <c r="AB42" s="201"/>
      <c r="AC42" s="203"/>
      <c r="AD42" s="204"/>
    </row>
    <row r="43" spans="2:30" ht="12.75" thickBot="1" x14ac:dyDescent="0.25">
      <c r="B43" s="338"/>
      <c r="C43" s="339"/>
      <c r="D43" s="347"/>
      <c r="E43" s="217" t="s">
        <v>43</v>
      </c>
      <c r="F43" s="218" t="s">
        <v>186</v>
      </c>
      <c r="G43" s="343"/>
      <c r="H43" s="207"/>
      <c r="I43" s="208"/>
      <c r="J43" s="209"/>
      <c r="K43" s="8"/>
      <c r="L43" s="175"/>
      <c r="M43" s="175"/>
      <c r="N43" s="201"/>
      <c r="O43" s="201"/>
      <c r="P43" s="201"/>
      <c r="Q43" s="201"/>
      <c r="R43" s="201"/>
      <c r="S43" s="201"/>
      <c r="T43" s="201"/>
      <c r="U43" s="201"/>
      <c r="V43" s="201"/>
      <c r="W43" s="201"/>
      <c r="X43" s="201"/>
      <c r="Y43" s="202"/>
      <c r="Z43" s="202"/>
      <c r="AA43" s="202"/>
      <c r="AB43" s="201"/>
      <c r="AC43" s="203"/>
      <c r="AD43" s="204"/>
    </row>
    <row r="44" spans="2:30" x14ac:dyDescent="0.2">
      <c r="B44" s="331">
        <v>13</v>
      </c>
      <c r="C44" s="333">
        <v>11</v>
      </c>
      <c r="D44" s="344" t="str">
        <f>VLOOKUP(B44,'Анализ рынка'!$A$8:$AL$50,6,0)</f>
        <v>Валидол 60 мг №10</v>
      </c>
      <c r="E44" s="215" t="s">
        <v>40</v>
      </c>
      <c r="F44" s="216">
        <f>VLOOKUP(B44,'Анализ рынка'!$A:$AL,31,0)</f>
        <v>2.1800000000000002</v>
      </c>
      <c r="G44" s="336">
        <f t="shared" ref="G44" si="7">IFERROR(IFERROR(IFERROR(SMALL(F44:F47,$H$3),SMALL(F44:F47,2)),SMALL(F44:F47,2)),SMALL(F44:F47,1))</f>
        <v>2.1800000000000002</v>
      </c>
      <c r="H44" s="207"/>
      <c r="I44" s="208"/>
      <c r="J44" s="209"/>
      <c r="K44" s="8"/>
      <c r="L44" s="175"/>
      <c r="M44" s="175"/>
      <c r="N44" s="201"/>
      <c r="O44" s="201"/>
      <c r="P44" s="201"/>
      <c r="Q44" s="201"/>
      <c r="R44" s="201"/>
      <c r="S44" s="201"/>
      <c r="T44" s="201"/>
      <c r="U44" s="201"/>
      <c r="V44" s="201"/>
      <c r="W44" s="201"/>
      <c r="X44" s="201"/>
      <c r="Y44" s="202"/>
      <c r="Z44" s="202"/>
      <c r="AA44" s="202"/>
      <c r="AB44" s="201"/>
      <c r="AC44" s="203"/>
      <c r="AD44" s="204"/>
    </row>
    <row r="45" spans="2:30" x14ac:dyDescent="0.2">
      <c r="B45" s="341"/>
      <c r="C45" s="333"/>
      <c r="D45" s="345"/>
      <c r="E45" s="205" t="s">
        <v>41</v>
      </c>
      <c r="F45" s="206" t="str">
        <f>VLOOKUP(B44,'Тарифный метод'!$A$4:$L$46,11,0)</f>
        <v>Не ЖНВЛП</v>
      </c>
      <c r="G45" s="337"/>
      <c r="H45" s="207"/>
      <c r="I45" s="208"/>
      <c r="J45" s="209"/>
      <c r="K45" s="8"/>
      <c r="L45" s="175"/>
      <c r="M45" s="175"/>
      <c r="N45" s="201"/>
      <c r="O45" s="201"/>
      <c r="P45" s="201"/>
      <c r="Q45" s="201"/>
      <c r="R45" s="201"/>
      <c r="S45" s="201"/>
      <c r="T45" s="201"/>
      <c r="U45" s="201"/>
      <c r="V45" s="201"/>
      <c r="W45" s="201"/>
      <c r="X45" s="201"/>
      <c r="Y45" s="202"/>
      <c r="Z45" s="202"/>
      <c r="AA45" s="202"/>
      <c r="AB45" s="201"/>
      <c r="AC45" s="203"/>
      <c r="AD45" s="204"/>
    </row>
    <row r="46" spans="2:30" x14ac:dyDescent="0.2">
      <c r="B46" s="332"/>
      <c r="C46" s="333"/>
      <c r="D46" s="346"/>
      <c r="E46" s="205" t="s">
        <v>42</v>
      </c>
      <c r="F46" s="206" t="str">
        <f>VLOOKUP(B44,'Средневзвешенная цена'!$D$6:$P$36,9,0)</f>
        <v>нет</v>
      </c>
      <c r="G46" s="337"/>
      <c r="H46" s="207"/>
      <c r="I46" s="208"/>
      <c r="J46" s="209"/>
      <c r="K46" s="8"/>
      <c r="L46" s="175"/>
      <c r="M46" s="175"/>
      <c r="N46" s="201"/>
      <c r="O46" s="201"/>
      <c r="P46" s="201"/>
      <c r="Q46" s="201"/>
      <c r="R46" s="201"/>
      <c r="S46" s="201"/>
      <c r="T46" s="201"/>
      <c r="U46" s="201"/>
      <c r="V46" s="201"/>
      <c r="W46" s="201"/>
      <c r="X46" s="201"/>
      <c r="Y46" s="202"/>
      <c r="Z46" s="202"/>
      <c r="AA46" s="202"/>
      <c r="AB46" s="201"/>
      <c r="AC46" s="203"/>
      <c r="AD46" s="204"/>
    </row>
    <row r="47" spans="2:30" ht="12.75" thickBot="1" x14ac:dyDescent="0.25">
      <c r="B47" s="338"/>
      <c r="C47" s="339"/>
      <c r="D47" s="347"/>
      <c r="E47" s="217" t="s">
        <v>43</v>
      </c>
      <c r="F47" s="218" t="s">
        <v>186</v>
      </c>
      <c r="G47" s="343"/>
      <c r="H47" s="207"/>
      <c r="I47" s="208"/>
      <c r="J47" s="209"/>
      <c r="K47" s="8"/>
      <c r="L47" s="175"/>
      <c r="M47" s="175"/>
      <c r="N47" s="201"/>
      <c r="O47" s="201"/>
      <c r="P47" s="201"/>
      <c r="Q47" s="201"/>
      <c r="R47" s="201"/>
      <c r="S47" s="201"/>
      <c r="T47" s="201"/>
      <c r="U47" s="201"/>
      <c r="V47" s="201"/>
      <c r="W47" s="201"/>
      <c r="X47" s="201"/>
      <c r="Y47" s="202"/>
      <c r="Z47" s="202"/>
      <c r="AA47" s="202"/>
      <c r="AB47" s="201"/>
      <c r="AC47" s="203"/>
      <c r="AD47" s="204"/>
    </row>
    <row r="48" spans="2:30" x14ac:dyDescent="0.2">
      <c r="B48" s="331">
        <v>14</v>
      </c>
      <c r="C48" s="333">
        <v>12</v>
      </c>
      <c r="D48" s="344" t="str">
        <f>VLOOKUP(B48,'Анализ рынка'!$A$8:$AL$50,6,0)</f>
        <v>Капотен 25 мг №40</v>
      </c>
      <c r="E48" s="215" t="s">
        <v>40</v>
      </c>
      <c r="F48" s="216">
        <f>VLOOKUP(B48,'Анализ рынка'!$A:$AL,31,0)</f>
        <v>6.62</v>
      </c>
      <c r="G48" s="336">
        <f t="shared" ref="G48" si="8">IFERROR(IFERROR(IFERROR(SMALL(F48:F51,$H$3),SMALL(F48:F51,2)),SMALL(F48:F51,2)),SMALL(F48:F51,1))</f>
        <v>6.62</v>
      </c>
      <c r="H48" s="207"/>
      <c r="I48" s="208"/>
      <c r="J48" s="209"/>
      <c r="K48" s="8"/>
      <c r="L48" s="175"/>
      <c r="M48" s="175"/>
      <c r="N48" s="201"/>
      <c r="O48" s="201"/>
      <c r="P48" s="201"/>
      <c r="Q48" s="201"/>
      <c r="R48" s="201"/>
      <c r="S48" s="201"/>
      <c r="T48" s="201"/>
      <c r="U48" s="201"/>
      <c r="V48" s="201"/>
      <c r="W48" s="201"/>
      <c r="X48" s="201"/>
      <c r="Y48" s="202"/>
      <c r="Z48" s="202"/>
      <c r="AA48" s="202"/>
      <c r="AB48" s="201"/>
      <c r="AC48" s="203"/>
      <c r="AD48" s="204"/>
    </row>
    <row r="49" spans="2:30" x14ac:dyDescent="0.2">
      <c r="B49" s="332"/>
      <c r="C49" s="333"/>
      <c r="D49" s="346"/>
      <c r="E49" s="205" t="s">
        <v>41</v>
      </c>
      <c r="F49" s="206">
        <f>VLOOKUP(B48,'Тарифный метод'!$A$4:$L$46,11,0)</f>
        <v>5.9174999999999995</v>
      </c>
      <c r="G49" s="337"/>
      <c r="H49" s="207"/>
      <c r="I49" s="208"/>
      <c r="J49" s="209"/>
      <c r="K49" s="8"/>
      <c r="L49" s="175"/>
      <c r="M49" s="175"/>
      <c r="N49" s="201"/>
      <c r="O49" s="201"/>
      <c r="P49" s="201"/>
      <c r="Q49" s="201"/>
      <c r="R49" s="201"/>
      <c r="S49" s="201"/>
      <c r="T49" s="201"/>
      <c r="U49" s="201"/>
      <c r="V49" s="201"/>
      <c r="W49" s="201"/>
      <c r="X49" s="201"/>
      <c r="Y49" s="202"/>
      <c r="Z49" s="202"/>
      <c r="AA49" s="202"/>
      <c r="AB49" s="201"/>
      <c r="AC49" s="203"/>
      <c r="AD49" s="204"/>
    </row>
    <row r="50" spans="2:30" x14ac:dyDescent="0.2">
      <c r="B50" s="332"/>
      <c r="C50" s="333"/>
      <c r="D50" s="346"/>
      <c r="E50" s="205" t="s">
        <v>42</v>
      </c>
      <c r="F50" s="206" t="str">
        <f>VLOOKUP(B48,'Средневзвешенная цена'!$D$6:$P$36,9,0)</f>
        <v>нет</v>
      </c>
      <c r="G50" s="337"/>
      <c r="H50" s="207"/>
      <c r="I50" s="208"/>
      <c r="J50" s="209"/>
      <c r="K50" s="8"/>
      <c r="L50" s="175"/>
      <c r="M50" s="175"/>
      <c r="N50" s="201"/>
      <c r="O50" s="201"/>
      <c r="P50" s="201"/>
      <c r="Q50" s="201"/>
      <c r="R50" s="201"/>
      <c r="S50" s="201"/>
      <c r="T50" s="201"/>
      <c r="U50" s="201"/>
      <c r="V50" s="201"/>
      <c r="W50" s="201"/>
      <c r="X50" s="201"/>
      <c r="Y50" s="202"/>
      <c r="Z50" s="202"/>
      <c r="AA50" s="202"/>
      <c r="AB50" s="201"/>
      <c r="AC50" s="203"/>
      <c r="AD50" s="204"/>
    </row>
    <row r="51" spans="2:30" ht="12.75" thickBot="1" x14ac:dyDescent="0.25">
      <c r="B51" s="338"/>
      <c r="C51" s="339"/>
      <c r="D51" s="347"/>
      <c r="E51" s="217" t="s">
        <v>43</v>
      </c>
      <c r="F51" s="218" t="s">
        <v>186</v>
      </c>
      <c r="G51" s="343"/>
      <c r="H51" s="207"/>
      <c r="I51" s="208"/>
      <c r="J51" s="209"/>
      <c r="K51" s="8"/>
      <c r="L51" s="175"/>
      <c r="M51" s="175"/>
      <c r="N51" s="201"/>
      <c r="O51" s="201"/>
      <c r="P51" s="201"/>
      <c r="Q51" s="201"/>
      <c r="R51" s="201"/>
      <c r="S51" s="201"/>
      <c r="T51" s="201"/>
      <c r="U51" s="201"/>
      <c r="V51" s="201"/>
      <c r="W51" s="201"/>
      <c r="X51" s="201"/>
      <c r="Y51" s="202"/>
      <c r="Z51" s="202"/>
      <c r="AA51" s="202"/>
      <c r="AB51" s="201"/>
      <c r="AC51" s="203"/>
      <c r="AD51" s="204"/>
    </row>
    <row r="52" spans="2:30" x14ac:dyDescent="0.2">
      <c r="B52" s="331">
        <v>15</v>
      </c>
      <c r="C52" s="333">
        <v>13</v>
      </c>
      <c r="D52" s="344" t="str">
        <f>VLOOKUP(B52,'Анализ рынка'!$A$8:$AL$50,6,0)</f>
        <v>Кетанов 10 мг № 20</v>
      </c>
      <c r="E52" s="215" t="s">
        <v>40</v>
      </c>
      <c r="F52" s="216">
        <f>VLOOKUP(B52,'Анализ рынка'!$A:$AL,31,0)</f>
        <v>3.96</v>
      </c>
      <c r="G52" s="336">
        <f t="shared" ref="G52:G72" si="9">IFERROR(IFERROR(IFERROR(SMALL(F52:F55,$H$3),SMALL(F52:F55,2)),SMALL(F52:F55,2)),SMALL(F52:F55,1))</f>
        <v>5.4119999999999999</v>
      </c>
      <c r="H52" s="207"/>
      <c r="I52" s="208"/>
      <c r="J52" s="209"/>
      <c r="K52" s="8"/>
      <c r="L52" s="175"/>
      <c r="M52" s="175"/>
      <c r="N52" s="201"/>
      <c r="O52" s="201"/>
      <c r="P52" s="201"/>
      <c r="Q52" s="201"/>
      <c r="R52" s="201"/>
      <c r="S52" s="201"/>
      <c r="T52" s="201"/>
      <c r="U52" s="201"/>
      <c r="V52" s="201"/>
      <c r="W52" s="201"/>
      <c r="X52" s="201"/>
      <c r="Y52" s="202"/>
      <c r="Z52" s="202"/>
      <c r="AA52" s="202"/>
      <c r="AB52" s="201"/>
      <c r="AC52" s="203"/>
      <c r="AD52" s="204"/>
    </row>
    <row r="53" spans="2:30" x14ac:dyDescent="0.2">
      <c r="B53" s="332"/>
      <c r="C53" s="333"/>
      <c r="D53" s="346"/>
      <c r="E53" s="205" t="s">
        <v>41</v>
      </c>
      <c r="F53" s="206">
        <f>VLOOKUP(B52,'Тарифный метод'!$A$4:$L$46,11,0)</f>
        <v>5.4119999999999999</v>
      </c>
      <c r="G53" s="337"/>
      <c r="H53" s="207"/>
      <c r="I53" s="208"/>
      <c r="J53" s="209"/>
      <c r="K53" s="8"/>
      <c r="L53" s="175"/>
      <c r="M53" s="175"/>
      <c r="N53" s="201"/>
      <c r="O53" s="201"/>
      <c r="P53" s="201"/>
      <c r="Q53" s="201"/>
      <c r="R53" s="201"/>
      <c r="S53" s="201"/>
      <c r="T53" s="201"/>
      <c r="U53" s="201"/>
      <c r="V53" s="201"/>
      <c r="W53" s="201"/>
      <c r="X53" s="201"/>
      <c r="Y53" s="202"/>
      <c r="Z53" s="202"/>
      <c r="AA53" s="202"/>
      <c r="AB53" s="201"/>
      <c r="AC53" s="203"/>
      <c r="AD53" s="204"/>
    </row>
    <row r="54" spans="2:30" x14ac:dyDescent="0.2">
      <c r="B54" s="332"/>
      <c r="C54" s="333"/>
      <c r="D54" s="346"/>
      <c r="E54" s="205" t="s">
        <v>42</v>
      </c>
      <c r="F54" s="206" t="str">
        <f>VLOOKUP(B52,'Средневзвешенная цена'!$D$6:$P$36,9,0)</f>
        <v>нет</v>
      </c>
      <c r="G54" s="337"/>
      <c r="H54" s="207"/>
      <c r="I54" s="208"/>
      <c r="J54" s="209"/>
      <c r="K54" s="8"/>
      <c r="L54" s="175"/>
      <c r="M54" s="175"/>
      <c r="N54" s="201"/>
      <c r="O54" s="201"/>
      <c r="P54" s="201"/>
      <c r="Q54" s="201"/>
      <c r="R54" s="201"/>
      <c r="S54" s="201"/>
      <c r="T54" s="201"/>
      <c r="U54" s="201"/>
      <c r="V54" s="201"/>
      <c r="W54" s="201"/>
      <c r="X54" s="201"/>
      <c r="Y54" s="202"/>
      <c r="Z54" s="202"/>
      <c r="AA54" s="202"/>
      <c r="AB54" s="201"/>
      <c r="AC54" s="203"/>
      <c r="AD54" s="204"/>
    </row>
    <row r="55" spans="2:30" ht="12.75" thickBot="1" x14ac:dyDescent="0.25">
      <c r="B55" s="338"/>
      <c r="C55" s="339"/>
      <c r="D55" s="347"/>
      <c r="E55" s="217" t="s">
        <v>43</v>
      </c>
      <c r="F55" s="218" t="s">
        <v>186</v>
      </c>
      <c r="G55" s="343"/>
      <c r="H55" s="207"/>
      <c r="I55" s="208"/>
      <c r="J55" s="209"/>
      <c r="K55" s="8"/>
      <c r="L55" s="175"/>
      <c r="M55" s="175"/>
      <c r="N55" s="201"/>
      <c r="O55" s="201"/>
      <c r="P55" s="201"/>
      <c r="Q55" s="201"/>
      <c r="R55" s="201"/>
      <c r="S55" s="201"/>
      <c r="T55" s="201"/>
      <c r="U55" s="201"/>
      <c r="V55" s="201"/>
      <c r="W55" s="201"/>
      <c r="X55" s="201"/>
      <c r="Y55" s="202"/>
      <c r="Z55" s="202"/>
      <c r="AA55" s="202"/>
      <c r="AB55" s="201"/>
      <c r="AC55" s="203"/>
      <c r="AD55" s="204"/>
    </row>
    <row r="56" spans="2:30" x14ac:dyDescent="0.2">
      <c r="B56" s="331">
        <v>16</v>
      </c>
      <c r="C56" s="333">
        <v>14</v>
      </c>
      <c r="D56" s="344" t="str">
        <f>VLOOKUP(B56,'Анализ рынка'!$A$8:$AL$50,6,0)</f>
        <v>Конкор 5 мг № 30</v>
      </c>
      <c r="E56" s="215" t="s">
        <v>40</v>
      </c>
      <c r="F56" s="216">
        <f>VLOOKUP(B56,'Анализ рынка'!$A:$AL,31,0)</f>
        <v>5.94</v>
      </c>
      <c r="G56" s="336">
        <f t="shared" si="9"/>
        <v>5.94</v>
      </c>
      <c r="H56" s="207"/>
      <c r="I56" s="208"/>
      <c r="J56" s="209"/>
      <c r="K56" s="8"/>
      <c r="L56" s="175"/>
      <c r="M56" s="175"/>
      <c r="N56" s="201"/>
      <c r="O56" s="201"/>
      <c r="P56" s="201"/>
      <c r="Q56" s="201"/>
      <c r="R56" s="201"/>
      <c r="S56" s="201"/>
      <c r="T56" s="201"/>
      <c r="U56" s="201"/>
      <c r="V56" s="201"/>
      <c r="W56" s="201"/>
      <c r="X56" s="201"/>
      <c r="Y56" s="202"/>
      <c r="Z56" s="202"/>
      <c r="AA56" s="202"/>
      <c r="AB56" s="201"/>
      <c r="AC56" s="203"/>
      <c r="AD56" s="204"/>
    </row>
    <row r="57" spans="2:30" x14ac:dyDescent="0.2">
      <c r="B57" s="341"/>
      <c r="C57" s="333"/>
      <c r="D57" s="345"/>
      <c r="E57" s="205" t="s">
        <v>41</v>
      </c>
      <c r="F57" s="206">
        <f>VLOOKUP(B56,'Тарифный метод'!$A$4:$L$46,11,0)</f>
        <v>5.3090000000000002</v>
      </c>
      <c r="G57" s="337"/>
      <c r="H57" s="207"/>
      <c r="I57" s="208"/>
      <c r="J57" s="209"/>
      <c r="K57" s="8"/>
      <c r="L57" s="175"/>
      <c r="M57" s="175"/>
      <c r="N57" s="201"/>
      <c r="O57" s="201"/>
      <c r="P57" s="201"/>
      <c r="Q57" s="201"/>
      <c r="R57" s="201"/>
      <c r="S57" s="201"/>
      <c r="T57" s="201"/>
      <c r="U57" s="201"/>
      <c r="V57" s="201"/>
      <c r="W57" s="201"/>
      <c r="X57" s="201"/>
      <c r="Y57" s="202"/>
      <c r="Z57" s="202"/>
      <c r="AA57" s="202"/>
      <c r="AB57" s="201"/>
      <c r="AC57" s="203"/>
      <c r="AD57" s="204"/>
    </row>
    <row r="58" spans="2:30" x14ac:dyDescent="0.2">
      <c r="B58" s="332"/>
      <c r="C58" s="333"/>
      <c r="D58" s="346"/>
      <c r="E58" s="205" t="s">
        <v>42</v>
      </c>
      <c r="F58" s="206" t="str">
        <f>VLOOKUP(B56,'Средневзвешенная цена'!$D$6:$P$36,9,0)</f>
        <v>нет</v>
      </c>
      <c r="G58" s="337"/>
      <c r="H58" s="207"/>
      <c r="I58" s="208"/>
      <c r="J58" s="209"/>
      <c r="K58" s="8"/>
      <c r="L58" s="175"/>
      <c r="M58" s="175"/>
      <c r="N58" s="201"/>
      <c r="O58" s="201"/>
      <c r="P58" s="201"/>
      <c r="Q58" s="201"/>
      <c r="R58" s="201"/>
      <c r="S58" s="201"/>
      <c r="T58" s="201"/>
      <c r="U58" s="201"/>
      <c r="V58" s="201"/>
      <c r="W58" s="201"/>
      <c r="X58" s="201"/>
      <c r="Y58" s="202"/>
      <c r="Z58" s="202"/>
      <c r="AA58" s="202"/>
      <c r="AB58" s="201"/>
      <c r="AC58" s="203"/>
      <c r="AD58" s="204"/>
    </row>
    <row r="59" spans="2:30" ht="12.75" thickBot="1" x14ac:dyDescent="0.25">
      <c r="B59" s="338"/>
      <c r="C59" s="339"/>
      <c r="D59" s="347"/>
      <c r="E59" s="217" t="s">
        <v>43</v>
      </c>
      <c r="F59" s="218" t="s">
        <v>186</v>
      </c>
      <c r="G59" s="343"/>
      <c r="H59" s="207"/>
      <c r="I59" s="208"/>
      <c r="J59" s="209"/>
      <c r="K59" s="175"/>
      <c r="L59" s="175"/>
      <c r="M59" s="175"/>
      <c r="N59" s="201"/>
      <c r="O59" s="201"/>
      <c r="P59" s="201"/>
      <c r="Q59" s="201"/>
      <c r="R59" s="201"/>
      <c r="S59" s="201"/>
      <c r="T59" s="201"/>
      <c r="U59" s="201"/>
      <c r="V59" s="201"/>
      <c r="W59" s="201"/>
      <c r="X59" s="201"/>
      <c r="Y59" s="202"/>
      <c r="Z59" s="202"/>
      <c r="AA59" s="202"/>
      <c r="AB59" s="201"/>
      <c r="AC59" s="203"/>
      <c r="AD59" s="204"/>
    </row>
    <row r="60" spans="2:30" x14ac:dyDescent="0.2">
      <c r="B60" s="331">
        <v>17</v>
      </c>
      <c r="C60" s="333">
        <v>15</v>
      </c>
      <c r="D60" s="344" t="str">
        <f>VLOOKUP(B60,'Анализ рынка'!$A$8:$AL$50,6,0)</f>
        <v>Физиотенз 0,2 мг № 28</v>
      </c>
      <c r="E60" s="215" t="s">
        <v>40</v>
      </c>
      <c r="F60" s="216">
        <f>VLOOKUP(B60,'Анализ рынка'!$A:$AL,31,0)</f>
        <v>22.03</v>
      </c>
      <c r="G60" s="336">
        <f t="shared" si="9"/>
        <v>22.03</v>
      </c>
      <c r="H60" s="207"/>
      <c r="I60" s="208"/>
      <c r="J60" s="209"/>
      <c r="K60" s="175"/>
      <c r="L60" s="175"/>
      <c r="M60" s="175"/>
      <c r="N60" s="201"/>
      <c r="O60" s="201"/>
      <c r="P60" s="201"/>
      <c r="Q60" s="201"/>
      <c r="R60" s="201"/>
      <c r="S60" s="201"/>
      <c r="T60" s="201"/>
      <c r="U60" s="201"/>
      <c r="V60" s="201"/>
      <c r="W60" s="201"/>
      <c r="X60" s="201"/>
      <c r="Y60" s="202"/>
      <c r="Z60" s="202"/>
      <c r="AA60" s="202"/>
      <c r="AB60" s="201"/>
      <c r="AC60" s="203"/>
      <c r="AD60" s="204"/>
    </row>
    <row r="61" spans="2:30" x14ac:dyDescent="0.2">
      <c r="B61" s="341"/>
      <c r="C61" s="333"/>
      <c r="D61" s="345"/>
      <c r="E61" s="205" t="s">
        <v>41</v>
      </c>
      <c r="F61" s="206">
        <f>VLOOKUP(B60,'Тарифный метод'!$A$4:$L$46,11,0)</f>
        <v>20.036785714285713</v>
      </c>
      <c r="G61" s="337"/>
      <c r="H61" s="207"/>
      <c r="I61" s="208"/>
      <c r="J61" s="209"/>
      <c r="K61" s="175"/>
      <c r="L61" s="175"/>
      <c r="M61" s="175"/>
      <c r="N61" s="201"/>
      <c r="O61" s="201"/>
      <c r="P61" s="201"/>
      <c r="Q61" s="201"/>
      <c r="R61" s="201"/>
      <c r="S61" s="201"/>
      <c r="T61" s="201"/>
      <c r="U61" s="201"/>
      <c r="V61" s="201"/>
      <c r="W61" s="201"/>
      <c r="X61" s="201"/>
      <c r="Y61" s="202"/>
      <c r="Z61" s="202"/>
      <c r="AA61" s="202"/>
      <c r="AB61" s="201"/>
      <c r="AC61" s="203"/>
      <c r="AD61" s="204"/>
    </row>
    <row r="62" spans="2:30" x14ac:dyDescent="0.2">
      <c r="B62" s="332"/>
      <c r="C62" s="333"/>
      <c r="D62" s="346"/>
      <c r="E62" s="205" t="s">
        <v>42</v>
      </c>
      <c r="F62" s="206" t="str">
        <f>VLOOKUP(B60,'Средневзвешенная цена'!$D$6:$P$36,9,0)</f>
        <v>нет</v>
      </c>
      <c r="G62" s="337"/>
      <c r="H62" s="207"/>
      <c r="I62" s="208"/>
      <c r="J62" s="209"/>
      <c r="K62" s="175"/>
      <c r="L62" s="175"/>
      <c r="M62" s="175"/>
      <c r="N62" s="201"/>
      <c r="O62" s="201"/>
      <c r="P62" s="201"/>
      <c r="Q62" s="201"/>
      <c r="R62" s="201"/>
      <c r="S62" s="201"/>
      <c r="T62" s="201"/>
      <c r="U62" s="201"/>
      <c r="V62" s="201"/>
      <c r="W62" s="201"/>
      <c r="X62" s="201"/>
      <c r="Y62" s="202"/>
      <c r="Z62" s="202"/>
      <c r="AA62" s="202"/>
      <c r="AB62" s="201"/>
      <c r="AC62" s="203"/>
      <c r="AD62" s="204"/>
    </row>
    <row r="63" spans="2:30" ht="12.75" thickBot="1" x14ac:dyDescent="0.25">
      <c r="B63" s="338"/>
      <c r="C63" s="339"/>
      <c r="D63" s="347"/>
      <c r="E63" s="217" t="s">
        <v>43</v>
      </c>
      <c r="F63" s="218" t="s">
        <v>186</v>
      </c>
      <c r="G63" s="343"/>
      <c r="H63" s="207"/>
      <c r="I63" s="208"/>
      <c r="J63" s="209"/>
      <c r="K63" s="175"/>
      <c r="L63" s="175"/>
      <c r="M63" s="175"/>
      <c r="N63" s="201"/>
      <c r="O63" s="201"/>
      <c r="P63" s="201"/>
      <c r="Q63" s="201"/>
      <c r="R63" s="201"/>
      <c r="S63" s="201"/>
      <c r="T63" s="201"/>
      <c r="U63" s="201"/>
      <c r="V63" s="201"/>
      <c r="W63" s="201"/>
      <c r="X63" s="201"/>
      <c r="Y63" s="202"/>
      <c r="Z63" s="202"/>
      <c r="AA63" s="202"/>
      <c r="AB63" s="201"/>
      <c r="AC63" s="203"/>
      <c r="AD63" s="204"/>
    </row>
    <row r="64" spans="2:30" x14ac:dyDescent="0.2">
      <c r="B64" s="331">
        <v>18</v>
      </c>
      <c r="C64" s="333">
        <v>16</v>
      </c>
      <c r="D64" s="344" t="str">
        <f>VLOOKUP(B64,'Анализ рынка'!$A$8:$AL$50,6,0)</f>
        <v>Кордиамин 25% 1 мл № 10</v>
      </c>
      <c r="E64" s="215" t="s">
        <v>40</v>
      </c>
      <c r="F64" s="216">
        <f>VLOOKUP(B64,'Анализ рынка'!$A:$AL,31,0)</f>
        <v>18.899999999999999</v>
      </c>
      <c r="G64" s="336">
        <f t="shared" si="9"/>
        <v>18.899999999999999</v>
      </c>
      <c r="H64" s="207"/>
      <c r="I64" s="208"/>
      <c r="J64" s="209"/>
      <c r="K64" s="175"/>
      <c r="L64" s="175"/>
      <c r="M64" s="175"/>
      <c r="N64" s="201"/>
      <c r="O64" s="201"/>
      <c r="P64" s="201"/>
      <c r="Q64" s="201"/>
      <c r="R64" s="201"/>
      <c r="S64" s="201"/>
      <c r="T64" s="201"/>
      <c r="U64" s="201"/>
      <c r="V64" s="201"/>
      <c r="W64" s="201"/>
      <c r="X64" s="201"/>
      <c r="Y64" s="202"/>
      <c r="Z64" s="202"/>
      <c r="AA64" s="202"/>
      <c r="AB64" s="201"/>
      <c r="AC64" s="203"/>
      <c r="AD64" s="204"/>
    </row>
    <row r="65" spans="2:30" x14ac:dyDescent="0.2">
      <c r="B65" s="341"/>
      <c r="C65" s="333"/>
      <c r="D65" s="345"/>
      <c r="E65" s="205" t="s">
        <v>41</v>
      </c>
      <c r="F65" s="206" t="str">
        <f>VLOOKUP(B64,'Тарифный метод'!$A$4:$L$46,11,0)</f>
        <v>Не ЖНВЛП</v>
      </c>
      <c r="G65" s="337"/>
      <c r="H65" s="207"/>
      <c r="I65" s="208"/>
      <c r="J65" s="209"/>
      <c r="K65" s="175"/>
      <c r="L65" s="175"/>
      <c r="M65" s="175"/>
      <c r="N65" s="201"/>
      <c r="O65" s="201"/>
      <c r="P65" s="201"/>
      <c r="Q65" s="201"/>
      <c r="R65" s="201"/>
      <c r="S65" s="201"/>
      <c r="T65" s="201"/>
      <c r="U65" s="201"/>
      <c r="V65" s="201"/>
      <c r="W65" s="201"/>
      <c r="X65" s="201"/>
      <c r="Y65" s="202"/>
      <c r="Z65" s="202"/>
      <c r="AA65" s="202"/>
      <c r="AB65" s="201"/>
      <c r="AC65" s="203"/>
      <c r="AD65" s="204"/>
    </row>
    <row r="66" spans="2:30" x14ac:dyDescent="0.2">
      <c r="B66" s="332"/>
      <c r="C66" s="333"/>
      <c r="D66" s="346"/>
      <c r="E66" s="205" t="s">
        <v>42</v>
      </c>
      <c r="F66" s="206" t="str">
        <f>VLOOKUP(B64,'Средневзвешенная цена'!$D$6:$P$36,9,0)</f>
        <v>нет</v>
      </c>
      <c r="G66" s="337"/>
      <c r="H66" s="207"/>
      <c r="I66" s="208"/>
      <c r="J66" s="209"/>
      <c r="K66" s="175"/>
      <c r="L66" s="175"/>
      <c r="M66" s="175"/>
      <c r="N66" s="201"/>
      <c r="O66" s="201"/>
      <c r="P66" s="201"/>
      <c r="Q66" s="201"/>
      <c r="R66" s="201"/>
      <c r="S66" s="201"/>
      <c r="T66" s="201"/>
      <c r="U66" s="201"/>
      <c r="V66" s="201"/>
      <c r="W66" s="201"/>
      <c r="X66" s="201"/>
      <c r="Y66" s="202"/>
      <c r="Z66" s="202"/>
      <c r="AA66" s="202"/>
      <c r="AB66" s="201"/>
      <c r="AC66" s="203"/>
      <c r="AD66" s="204"/>
    </row>
    <row r="67" spans="2:30" ht="12.75" thickBot="1" x14ac:dyDescent="0.25">
      <c r="B67" s="338"/>
      <c r="C67" s="339"/>
      <c r="D67" s="347"/>
      <c r="E67" s="217" t="s">
        <v>43</v>
      </c>
      <c r="F67" s="218" t="s">
        <v>186</v>
      </c>
      <c r="G67" s="343"/>
      <c r="H67" s="207"/>
      <c r="I67" s="208"/>
      <c r="J67" s="209"/>
      <c r="K67" s="175"/>
      <c r="L67" s="175"/>
      <c r="M67" s="175"/>
      <c r="N67" s="201"/>
      <c r="O67" s="201"/>
      <c r="P67" s="201"/>
      <c r="Q67" s="201"/>
      <c r="R67" s="201"/>
      <c r="S67" s="201"/>
      <c r="T67" s="201"/>
      <c r="U67" s="201"/>
      <c r="V67" s="201"/>
      <c r="W67" s="201"/>
      <c r="X67" s="201"/>
      <c r="Y67" s="202"/>
      <c r="Z67" s="202"/>
      <c r="AA67" s="202"/>
      <c r="AB67" s="201"/>
      <c r="AC67" s="203"/>
      <c r="AD67" s="204"/>
    </row>
    <row r="68" spans="2:30" x14ac:dyDescent="0.2">
      <c r="B68" s="331">
        <v>20</v>
      </c>
      <c r="C68" s="333">
        <v>17</v>
      </c>
      <c r="D68" s="344" t="str">
        <f>VLOOKUP(B68,'Анализ рынка'!$A$8:$AL$50,6,0)</f>
        <v>Нитроглицерин 0,5 мг №40</v>
      </c>
      <c r="E68" s="215" t="s">
        <v>40</v>
      </c>
      <c r="F68" s="216">
        <f>VLOOKUP(B68,'Анализ рынка'!$A:$AL,31,0)</f>
        <v>1.36</v>
      </c>
      <c r="G68" s="336">
        <f t="shared" si="9"/>
        <v>1.36</v>
      </c>
      <c r="H68" s="207"/>
      <c r="I68" s="208"/>
      <c r="J68" s="209"/>
      <c r="K68" s="175"/>
      <c r="L68" s="175"/>
      <c r="M68" s="175"/>
      <c r="N68" s="201"/>
      <c r="O68" s="201"/>
      <c r="P68" s="201"/>
      <c r="Q68" s="201"/>
      <c r="R68" s="201"/>
      <c r="S68" s="201"/>
      <c r="T68" s="201"/>
      <c r="U68" s="201"/>
      <c r="V68" s="201"/>
      <c r="W68" s="201"/>
      <c r="X68" s="201"/>
      <c r="Y68" s="202"/>
      <c r="Z68" s="202"/>
      <c r="AA68" s="202"/>
      <c r="AB68" s="201"/>
      <c r="AC68" s="203"/>
      <c r="AD68" s="204"/>
    </row>
    <row r="69" spans="2:30" x14ac:dyDescent="0.2">
      <c r="B69" s="341"/>
      <c r="C69" s="333"/>
      <c r="D69" s="345"/>
      <c r="E69" s="205" t="s">
        <v>41</v>
      </c>
      <c r="F69" s="206">
        <f>VLOOKUP(B68,'Тарифный метод'!$A$4:$L$46,11,0)</f>
        <v>1.1577500000000001</v>
      </c>
      <c r="G69" s="337"/>
      <c r="H69" s="207"/>
      <c r="I69" s="208"/>
      <c r="J69" s="209"/>
      <c r="K69" s="175"/>
      <c r="L69" s="175"/>
      <c r="M69" s="175"/>
      <c r="N69" s="201"/>
      <c r="O69" s="201"/>
      <c r="P69" s="201"/>
      <c r="Q69" s="201"/>
      <c r="R69" s="201"/>
      <c r="S69" s="201"/>
      <c r="T69" s="201"/>
      <c r="U69" s="201"/>
      <c r="V69" s="201"/>
      <c r="W69" s="201"/>
      <c r="X69" s="201"/>
      <c r="Y69" s="202"/>
      <c r="Z69" s="202"/>
      <c r="AA69" s="202"/>
      <c r="AB69" s="201"/>
      <c r="AC69" s="203"/>
      <c r="AD69" s="204"/>
    </row>
    <row r="70" spans="2:30" x14ac:dyDescent="0.2">
      <c r="B70" s="332"/>
      <c r="C70" s="333"/>
      <c r="D70" s="346"/>
      <c r="E70" s="205" t="s">
        <v>42</v>
      </c>
      <c r="F70" s="206" t="str">
        <f>VLOOKUP(B68,'Средневзвешенная цена'!$D$6:$P$36,9,0)</f>
        <v>нет</v>
      </c>
      <c r="G70" s="337"/>
      <c r="H70" s="207"/>
      <c r="I70" s="208"/>
      <c r="J70" s="209"/>
      <c r="K70" s="175"/>
      <c r="L70" s="175"/>
      <c r="M70" s="175"/>
      <c r="N70" s="201"/>
      <c r="O70" s="201"/>
      <c r="P70" s="201"/>
      <c r="Q70" s="201"/>
      <c r="R70" s="201"/>
      <c r="S70" s="201"/>
      <c r="T70" s="201"/>
      <c r="U70" s="201"/>
      <c r="V70" s="201"/>
      <c r="W70" s="201"/>
      <c r="X70" s="201"/>
      <c r="Y70" s="202"/>
      <c r="Z70" s="202"/>
      <c r="AA70" s="202"/>
      <c r="AB70" s="201"/>
      <c r="AC70" s="203"/>
      <c r="AD70" s="204"/>
    </row>
    <row r="71" spans="2:30" ht="12.75" thickBot="1" x14ac:dyDescent="0.25">
      <c r="B71" s="338"/>
      <c r="C71" s="339"/>
      <c r="D71" s="347"/>
      <c r="E71" s="217" t="s">
        <v>43</v>
      </c>
      <c r="F71" s="218" t="s">
        <v>186</v>
      </c>
      <c r="G71" s="343"/>
      <c r="H71" s="207"/>
      <c r="I71" s="208"/>
      <c r="J71" s="209"/>
      <c r="K71" s="175"/>
      <c r="L71" s="175"/>
      <c r="M71" s="175"/>
      <c r="N71" s="201"/>
      <c r="O71" s="201"/>
      <c r="P71" s="201"/>
      <c r="Q71" s="201"/>
      <c r="R71" s="201"/>
      <c r="S71" s="201"/>
      <c r="T71" s="201"/>
      <c r="U71" s="201"/>
      <c r="V71" s="201"/>
      <c r="W71" s="201"/>
      <c r="X71" s="201"/>
      <c r="Y71" s="202"/>
      <c r="Z71" s="202"/>
      <c r="AA71" s="202"/>
      <c r="AB71" s="201"/>
      <c r="AC71" s="203"/>
      <c r="AD71" s="204"/>
    </row>
    <row r="72" spans="2:30" x14ac:dyDescent="0.2">
      <c r="B72" s="331">
        <v>22</v>
      </c>
      <c r="C72" s="333">
        <v>18</v>
      </c>
      <c r="D72" s="344" t="str">
        <f>VLOOKUP(B72,'Анализ рынка'!$A$8:$AL$50,6,0)</f>
        <v>Аммиак 10% 40 мл.</v>
      </c>
      <c r="E72" s="215" t="s">
        <v>40</v>
      </c>
      <c r="F72" s="216">
        <f>VLOOKUP(B72,'Анализ рынка'!$A:$AL,31,0)</f>
        <v>0.56999999999999995</v>
      </c>
      <c r="G72" s="336">
        <f t="shared" si="9"/>
        <v>0.56999999999999995</v>
      </c>
      <c r="H72" s="207"/>
      <c r="I72" s="208"/>
      <c r="J72" s="209"/>
      <c r="K72" s="175"/>
      <c r="L72" s="175"/>
      <c r="M72" s="175"/>
      <c r="N72" s="201"/>
      <c r="O72" s="201"/>
      <c r="P72" s="201"/>
      <c r="Q72" s="201"/>
      <c r="R72" s="201"/>
      <c r="S72" s="201"/>
      <c r="T72" s="201"/>
      <c r="U72" s="201"/>
      <c r="V72" s="201"/>
      <c r="W72" s="201"/>
      <c r="X72" s="201"/>
      <c r="Y72" s="202"/>
      <c r="Z72" s="202"/>
      <c r="AA72" s="202"/>
      <c r="AB72" s="201"/>
      <c r="AC72" s="203"/>
      <c r="AD72" s="204"/>
    </row>
    <row r="73" spans="2:30" x14ac:dyDescent="0.2">
      <c r="B73" s="332"/>
      <c r="C73" s="333"/>
      <c r="D73" s="346"/>
      <c r="E73" s="205" t="s">
        <v>41</v>
      </c>
      <c r="F73" s="206" t="str">
        <f>VLOOKUP(B72,'Тарифный метод'!$A$4:$L$46,11,0)</f>
        <v>Не ЖНВЛП</v>
      </c>
      <c r="G73" s="337"/>
      <c r="H73" s="207"/>
      <c r="I73" s="208"/>
      <c r="J73" s="209"/>
      <c r="K73" s="175"/>
      <c r="L73" s="175"/>
      <c r="M73" s="175"/>
      <c r="N73" s="201"/>
      <c r="O73" s="201"/>
      <c r="P73" s="201"/>
      <c r="Q73" s="201"/>
      <c r="R73" s="201"/>
      <c r="S73" s="201"/>
      <c r="T73" s="201"/>
      <c r="U73" s="201"/>
      <c r="V73" s="201"/>
      <c r="W73" s="201"/>
      <c r="X73" s="201"/>
      <c r="Y73" s="202"/>
      <c r="Z73" s="202"/>
      <c r="AA73" s="202"/>
      <c r="AB73" s="201"/>
      <c r="AC73" s="203"/>
      <c r="AD73" s="204"/>
    </row>
    <row r="74" spans="2:30" x14ac:dyDescent="0.2">
      <c r="B74" s="332"/>
      <c r="C74" s="333"/>
      <c r="D74" s="346"/>
      <c r="E74" s="205" t="s">
        <v>42</v>
      </c>
      <c r="F74" s="206" t="str">
        <f>VLOOKUP(B72,'Средневзвешенная цена'!$D$6:$P$36,9,0)</f>
        <v>нет</v>
      </c>
      <c r="G74" s="337"/>
      <c r="H74" s="207"/>
      <c r="I74" s="208"/>
      <c r="J74" s="209"/>
      <c r="K74" s="175"/>
      <c r="L74" s="175"/>
      <c r="M74" s="175"/>
      <c r="N74" s="201"/>
      <c r="O74" s="201"/>
      <c r="P74" s="201"/>
      <c r="Q74" s="201"/>
      <c r="R74" s="201"/>
      <c r="S74" s="201"/>
      <c r="T74" s="201"/>
      <c r="U74" s="201"/>
      <c r="V74" s="201"/>
      <c r="W74" s="201"/>
      <c r="X74" s="201"/>
      <c r="Y74" s="202"/>
      <c r="Z74" s="202"/>
      <c r="AA74" s="202"/>
      <c r="AB74" s="201"/>
      <c r="AC74" s="203"/>
      <c r="AD74" s="204"/>
    </row>
    <row r="75" spans="2:30" ht="12.75" thickBot="1" x14ac:dyDescent="0.25">
      <c r="B75" s="338"/>
      <c r="C75" s="339"/>
      <c r="D75" s="347"/>
      <c r="E75" s="217" t="s">
        <v>43</v>
      </c>
      <c r="F75" s="218" t="s">
        <v>186</v>
      </c>
      <c r="G75" s="343"/>
      <c r="H75" s="207"/>
      <c r="I75" s="208"/>
      <c r="J75" s="209"/>
      <c r="K75" s="175"/>
      <c r="L75" s="175"/>
      <c r="M75" s="175"/>
      <c r="N75" s="201"/>
      <c r="O75" s="201"/>
      <c r="P75" s="201"/>
      <c r="Q75" s="201"/>
      <c r="R75" s="201"/>
      <c r="S75" s="201"/>
      <c r="T75" s="201"/>
      <c r="U75" s="201"/>
      <c r="V75" s="201"/>
      <c r="W75" s="201"/>
      <c r="X75" s="201"/>
      <c r="Y75" s="202"/>
      <c r="Z75" s="202"/>
      <c r="AA75" s="202"/>
      <c r="AB75" s="201"/>
      <c r="AC75" s="203"/>
      <c r="AD75" s="204"/>
    </row>
    <row r="76" spans="2:30" x14ac:dyDescent="0.2">
      <c r="B76" s="331">
        <v>23</v>
      </c>
      <c r="C76" s="333">
        <v>19</v>
      </c>
      <c r="D76" s="344" t="str">
        <f>VLOOKUP(B76,'Анализ рынка'!$A$8:$AL$50,6,0)</f>
        <v>Вазелин 30 гр</v>
      </c>
      <c r="E76" s="215" t="s">
        <v>40</v>
      </c>
      <c r="F76" s="216">
        <f>VLOOKUP(B76,'Анализ рынка'!$A:$AL,31,0)</f>
        <v>1.96</v>
      </c>
      <c r="G76" s="336">
        <f t="shared" ref="G76:G92" si="10">IFERROR(IFERROR(IFERROR(SMALL(F76:F79,$H$3),SMALL(F76:F79,2)),SMALL(F76:F79,2)),SMALL(F76:F79,1))</f>
        <v>1.96</v>
      </c>
      <c r="H76" s="207"/>
      <c r="I76" s="208"/>
      <c r="J76" s="209"/>
      <c r="K76" s="175"/>
      <c r="L76" s="175"/>
      <c r="M76" s="175"/>
      <c r="N76" s="201"/>
      <c r="O76" s="201"/>
      <c r="P76" s="201"/>
      <c r="Q76" s="201"/>
      <c r="R76" s="201"/>
      <c r="S76" s="201"/>
      <c r="T76" s="201"/>
      <c r="U76" s="201"/>
      <c r="V76" s="201"/>
      <c r="W76" s="201"/>
      <c r="X76" s="201"/>
      <c r="Y76" s="202"/>
      <c r="Z76" s="202"/>
      <c r="AA76" s="202"/>
      <c r="AB76" s="201"/>
      <c r="AC76" s="203"/>
      <c r="AD76" s="204"/>
    </row>
    <row r="77" spans="2:30" x14ac:dyDescent="0.2">
      <c r="B77" s="341"/>
      <c r="C77" s="333"/>
      <c r="D77" s="345"/>
      <c r="E77" s="205" t="s">
        <v>41</v>
      </c>
      <c r="F77" s="206" t="str">
        <f>VLOOKUP(B76,'Тарифный метод'!$A$4:$L$46,11,0)</f>
        <v>Не ЖНВЛП</v>
      </c>
      <c r="G77" s="337"/>
      <c r="H77" s="207"/>
      <c r="I77" s="208"/>
      <c r="J77" s="209"/>
      <c r="K77" s="175"/>
      <c r="L77" s="175"/>
      <c r="M77" s="175"/>
      <c r="N77" s="201"/>
      <c r="O77" s="201"/>
      <c r="P77" s="201"/>
      <c r="Q77" s="201"/>
      <c r="R77" s="201"/>
      <c r="S77" s="201"/>
      <c r="T77" s="201"/>
      <c r="U77" s="201"/>
      <c r="V77" s="201"/>
      <c r="W77" s="201"/>
      <c r="X77" s="201"/>
      <c r="Y77" s="202"/>
      <c r="Z77" s="202"/>
      <c r="AA77" s="202"/>
      <c r="AB77" s="201"/>
      <c r="AC77" s="203"/>
      <c r="AD77" s="204"/>
    </row>
    <row r="78" spans="2:30" x14ac:dyDescent="0.2">
      <c r="B78" s="332"/>
      <c r="C78" s="333"/>
      <c r="D78" s="346"/>
      <c r="E78" s="205" t="s">
        <v>42</v>
      </c>
      <c r="F78" s="206" t="str">
        <f>VLOOKUP(B76,'Средневзвешенная цена'!$D$6:$P$36,9,0)</f>
        <v>нет</v>
      </c>
      <c r="G78" s="337"/>
      <c r="H78" s="207"/>
      <c r="I78" s="208"/>
      <c r="J78" s="209"/>
      <c r="K78" s="175"/>
      <c r="L78" s="175"/>
      <c r="M78" s="175"/>
      <c r="N78" s="201"/>
      <c r="O78" s="201"/>
      <c r="P78" s="201"/>
      <c r="Q78" s="201"/>
      <c r="R78" s="201"/>
      <c r="S78" s="201"/>
      <c r="T78" s="201"/>
      <c r="U78" s="201"/>
      <c r="V78" s="201"/>
      <c r="W78" s="201"/>
      <c r="X78" s="201"/>
      <c r="Y78" s="202"/>
      <c r="Z78" s="202"/>
      <c r="AA78" s="202"/>
      <c r="AB78" s="201"/>
      <c r="AC78" s="203"/>
      <c r="AD78" s="204"/>
    </row>
    <row r="79" spans="2:30" ht="12.75" thickBot="1" x14ac:dyDescent="0.25">
      <c r="B79" s="338"/>
      <c r="C79" s="339"/>
      <c r="D79" s="347"/>
      <c r="E79" s="217" t="s">
        <v>43</v>
      </c>
      <c r="F79" s="218" t="s">
        <v>186</v>
      </c>
      <c r="G79" s="343"/>
      <c r="H79" s="207"/>
      <c r="I79" s="208"/>
      <c r="J79" s="209"/>
      <c r="K79" s="175"/>
      <c r="L79" s="175"/>
      <c r="M79" s="175"/>
      <c r="N79" s="201"/>
      <c r="O79" s="201"/>
      <c r="P79" s="201"/>
      <c r="Q79" s="201"/>
      <c r="R79" s="201"/>
      <c r="S79" s="201"/>
      <c r="T79" s="201"/>
      <c r="U79" s="201"/>
      <c r="V79" s="201"/>
      <c r="W79" s="201"/>
      <c r="X79" s="201"/>
      <c r="Y79" s="202"/>
      <c r="Z79" s="202"/>
      <c r="AA79" s="202"/>
      <c r="AB79" s="201"/>
      <c r="AC79" s="203"/>
      <c r="AD79" s="204"/>
    </row>
    <row r="80" spans="2:30" x14ac:dyDescent="0.2">
      <c r="B80" s="331">
        <v>24</v>
      </c>
      <c r="C80" s="333">
        <v>20</v>
      </c>
      <c r="D80" s="344" t="str">
        <f>VLOOKUP(B80,'Анализ рынка'!$A$8:$AL$50,6,0)</f>
        <v>Натрия хлорид 0,9% 200 мл</v>
      </c>
      <c r="E80" s="215" t="s">
        <v>40</v>
      </c>
      <c r="F80" s="216">
        <f>VLOOKUP(B80,'Анализ рынка'!$A:$AL,31,0)</f>
        <v>0.34</v>
      </c>
      <c r="G80" s="336">
        <f t="shared" si="10"/>
        <v>0.34</v>
      </c>
      <c r="H80" s="207"/>
      <c r="I80" s="208"/>
      <c r="J80" s="209"/>
      <c r="K80" s="175"/>
      <c r="L80" s="175"/>
      <c r="M80" s="175"/>
      <c r="N80" s="201"/>
      <c r="O80" s="201"/>
      <c r="P80" s="201"/>
      <c r="Q80" s="201"/>
      <c r="R80" s="201"/>
      <c r="S80" s="201"/>
      <c r="T80" s="201"/>
      <c r="U80" s="201"/>
      <c r="V80" s="201"/>
      <c r="W80" s="201"/>
      <c r="X80" s="201"/>
      <c r="Y80" s="202"/>
      <c r="Z80" s="202"/>
      <c r="AA80" s="202"/>
      <c r="AB80" s="201"/>
      <c r="AC80" s="203"/>
      <c r="AD80" s="204"/>
    </row>
    <row r="81" spans="2:30" x14ac:dyDescent="0.2">
      <c r="B81" s="341"/>
      <c r="C81" s="333"/>
      <c r="D81" s="345"/>
      <c r="E81" s="205" t="s">
        <v>41</v>
      </c>
      <c r="F81" s="206">
        <f>VLOOKUP(B80,'Тарифный метод'!$A$4:$L$46,11,0)</f>
        <v>0.11019999999999999</v>
      </c>
      <c r="G81" s="337"/>
      <c r="H81" s="207"/>
      <c r="I81" s="208"/>
      <c r="J81" s="209"/>
      <c r="K81" s="175"/>
      <c r="L81" s="175"/>
      <c r="M81" s="175"/>
      <c r="N81" s="201"/>
      <c r="O81" s="201"/>
      <c r="P81" s="201"/>
      <c r="Q81" s="201"/>
      <c r="R81" s="201"/>
      <c r="S81" s="201"/>
      <c r="T81" s="201"/>
      <c r="U81" s="201"/>
      <c r="V81" s="201"/>
      <c r="W81" s="201"/>
      <c r="X81" s="201"/>
      <c r="Y81" s="202"/>
      <c r="Z81" s="202"/>
      <c r="AA81" s="202"/>
      <c r="AB81" s="201"/>
      <c r="AC81" s="203"/>
      <c r="AD81" s="204"/>
    </row>
    <row r="82" spans="2:30" x14ac:dyDescent="0.2">
      <c r="B82" s="332"/>
      <c r="C82" s="333"/>
      <c r="D82" s="346"/>
      <c r="E82" s="205" t="s">
        <v>42</v>
      </c>
      <c r="F82" s="206" t="str">
        <f>VLOOKUP(B80,'Средневзвешенная цена'!$D$6:$P$36,9,0)</f>
        <v>нет</v>
      </c>
      <c r="G82" s="337"/>
      <c r="H82" s="207"/>
      <c r="I82" s="208"/>
      <c r="J82" s="209"/>
      <c r="K82" s="175"/>
      <c r="L82" s="175"/>
      <c r="M82" s="175"/>
      <c r="N82" s="201"/>
      <c r="O82" s="201"/>
      <c r="P82" s="201"/>
      <c r="Q82" s="201"/>
      <c r="R82" s="201"/>
      <c r="S82" s="201"/>
      <c r="T82" s="201"/>
      <c r="U82" s="201"/>
      <c r="V82" s="201"/>
      <c r="W82" s="201"/>
      <c r="X82" s="201"/>
      <c r="Y82" s="202"/>
      <c r="Z82" s="202"/>
      <c r="AA82" s="202"/>
      <c r="AB82" s="201"/>
      <c r="AC82" s="203"/>
      <c r="AD82" s="204"/>
    </row>
    <row r="83" spans="2:30" ht="12.75" thickBot="1" x14ac:dyDescent="0.25">
      <c r="B83" s="338"/>
      <c r="C83" s="339"/>
      <c r="D83" s="347"/>
      <c r="E83" s="217" t="s">
        <v>43</v>
      </c>
      <c r="F83" s="218" t="s">
        <v>186</v>
      </c>
      <c r="G83" s="343"/>
      <c r="H83" s="207"/>
      <c r="I83" s="208"/>
      <c r="J83" s="209"/>
      <c r="K83" s="175"/>
      <c r="L83" s="175"/>
      <c r="M83" s="175"/>
      <c r="N83" s="201"/>
      <c r="O83" s="201"/>
      <c r="P83" s="201"/>
      <c r="Q83" s="201"/>
      <c r="R83" s="201"/>
      <c r="S83" s="201"/>
      <c r="T83" s="201"/>
      <c r="U83" s="201"/>
      <c r="V83" s="201"/>
      <c r="W83" s="201"/>
      <c r="X83" s="201"/>
      <c r="Y83" s="202"/>
      <c r="Z83" s="202"/>
      <c r="AA83" s="202"/>
      <c r="AB83" s="201"/>
      <c r="AC83" s="203"/>
      <c r="AD83" s="204"/>
    </row>
    <row r="84" spans="2:30" x14ac:dyDescent="0.2">
      <c r="B84" s="331">
        <v>25</v>
      </c>
      <c r="C84" s="333">
        <v>21</v>
      </c>
      <c r="D84" s="334" t="str">
        <f>VLOOKUP(B84,'Анализ рынка'!$A$8:$AL$50,6,0)</f>
        <v>Натрия хлорид 0,9%  5,0 №10</v>
      </c>
      <c r="E84" s="219" t="s">
        <v>40</v>
      </c>
      <c r="F84" s="216">
        <f>VLOOKUP(B84,'Анализ рынка'!$A:$AL,31,0)</f>
        <v>1.21</v>
      </c>
      <c r="G84" s="336">
        <f t="shared" si="10"/>
        <v>1.25</v>
      </c>
      <c r="H84" s="207"/>
      <c r="I84" s="207"/>
      <c r="J84" s="209"/>
      <c r="K84" s="175"/>
      <c r="L84" s="175"/>
      <c r="M84" s="175"/>
      <c r="N84" s="201"/>
      <c r="O84" s="201"/>
      <c r="P84" s="201"/>
      <c r="Q84" s="201"/>
      <c r="R84" s="201"/>
      <c r="S84" s="201"/>
      <c r="T84" s="201"/>
      <c r="U84" s="201"/>
      <c r="V84" s="201"/>
      <c r="W84" s="201"/>
      <c r="X84" s="201"/>
      <c r="Y84" s="202"/>
      <c r="Z84" s="202"/>
      <c r="AA84" s="202"/>
      <c r="AB84" s="201"/>
      <c r="AC84" s="203"/>
      <c r="AD84" s="204"/>
    </row>
    <row r="85" spans="2:30" x14ac:dyDescent="0.2">
      <c r="B85" s="332"/>
      <c r="C85" s="333"/>
      <c r="D85" s="335"/>
      <c r="E85" s="213" t="s">
        <v>41</v>
      </c>
      <c r="F85" s="206">
        <f>VLOOKUP(B84,'Тарифный метод'!$A$4:$L$46,11,0)</f>
        <v>1.25</v>
      </c>
      <c r="G85" s="337"/>
      <c r="H85" s="207"/>
      <c r="I85" s="207"/>
      <c r="J85" s="209"/>
      <c r="K85" s="175"/>
      <c r="L85" s="175"/>
      <c r="M85" s="175"/>
      <c r="N85" s="201"/>
      <c r="O85" s="201"/>
      <c r="P85" s="201"/>
      <c r="Q85" s="201"/>
      <c r="R85" s="201"/>
      <c r="S85" s="201"/>
      <c r="T85" s="201"/>
      <c r="U85" s="201"/>
      <c r="V85" s="201"/>
      <c r="W85" s="201"/>
      <c r="X85" s="201"/>
      <c r="Y85" s="202"/>
      <c r="Z85" s="202"/>
      <c r="AA85" s="202"/>
      <c r="AB85" s="201"/>
      <c r="AC85" s="203"/>
      <c r="AD85" s="204"/>
    </row>
    <row r="86" spans="2:30" x14ac:dyDescent="0.2">
      <c r="B86" s="332"/>
      <c r="C86" s="333"/>
      <c r="D86" s="335"/>
      <c r="E86" s="213" t="s">
        <v>42</v>
      </c>
      <c r="F86" s="206" t="str">
        <f>VLOOKUP(B84,'Средневзвешенная цена'!$D$6:$P$36,9,0)</f>
        <v>нет</v>
      </c>
      <c r="G86" s="337"/>
      <c r="H86" s="207"/>
      <c r="I86" s="207"/>
      <c r="J86" s="209"/>
      <c r="K86" s="175"/>
      <c r="L86" s="175"/>
      <c r="M86" s="175"/>
      <c r="N86" s="201"/>
      <c r="O86" s="201"/>
      <c r="P86" s="201"/>
      <c r="Q86" s="201"/>
      <c r="R86" s="201"/>
      <c r="S86" s="201"/>
      <c r="T86" s="201"/>
      <c r="U86" s="201"/>
      <c r="V86" s="201"/>
      <c r="W86" s="201"/>
      <c r="X86" s="201"/>
      <c r="Y86" s="202"/>
      <c r="Z86" s="202"/>
      <c r="AA86" s="202"/>
      <c r="AB86" s="201"/>
      <c r="AC86" s="203"/>
      <c r="AD86" s="204"/>
    </row>
    <row r="87" spans="2:30" ht="12.75" thickBot="1" x14ac:dyDescent="0.25">
      <c r="B87" s="338"/>
      <c r="C87" s="339"/>
      <c r="D87" s="340"/>
      <c r="E87" s="220" t="s">
        <v>43</v>
      </c>
      <c r="F87" s="218" t="s">
        <v>186</v>
      </c>
      <c r="G87" s="343"/>
      <c r="H87" s="207"/>
      <c r="I87" s="207"/>
      <c r="J87" s="209"/>
      <c r="K87" s="175"/>
      <c r="L87" s="175"/>
      <c r="M87" s="175"/>
      <c r="N87" s="201"/>
      <c r="O87" s="201"/>
      <c r="P87" s="201"/>
      <c r="Q87" s="201"/>
      <c r="R87" s="201"/>
      <c r="S87" s="201"/>
      <c r="T87" s="201"/>
      <c r="U87" s="201"/>
      <c r="V87" s="201"/>
      <c r="W87" s="201"/>
      <c r="X87" s="201"/>
      <c r="Y87" s="202"/>
      <c r="Z87" s="202"/>
      <c r="AA87" s="202"/>
      <c r="AB87" s="201"/>
      <c r="AC87" s="203"/>
      <c r="AD87" s="204"/>
    </row>
    <row r="88" spans="2:30" x14ac:dyDescent="0.2">
      <c r="B88" s="331">
        <v>26</v>
      </c>
      <c r="C88" s="333">
        <v>22</v>
      </c>
      <c r="D88" s="334" t="str">
        <f>VLOOKUP(B88,'Анализ рынка'!$A$8:$AL$50,6,0)</f>
        <v>Метрогил дента 20 г.</v>
      </c>
      <c r="E88" s="219" t="s">
        <v>40</v>
      </c>
      <c r="F88" s="216">
        <f>VLOOKUP(B88,'Анализ рынка'!$A:$AL,31,0)</f>
        <v>33.18</v>
      </c>
      <c r="G88" s="336">
        <f t="shared" si="10"/>
        <v>33.18</v>
      </c>
      <c r="H88" s="207"/>
      <c r="I88" s="207"/>
      <c r="J88" s="209"/>
      <c r="K88" s="175"/>
      <c r="L88" s="175"/>
      <c r="M88" s="175"/>
      <c r="N88" s="201"/>
      <c r="O88" s="201"/>
      <c r="P88" s="201"/>
      <c r="Q88" s="201"/>
      <c r="R88" s="201"/>
      <c r="S88" s="201"/>
      <c r="T88" s="201"/>
      <c r="U88" s="201"/>
      <c r="V88" s="201"/>
      <c r="W88" s="201"/>
      <c r="X88" s="201"/>
      <c r="Y88" s="202"/>
      <c r="Z88" s="202"/>
      <c r="AA88" s="202"/>
      <c r="AB88" s="201"/>
      <c r="AC88" s="203"/>
      <c r="AD88" s="204"/>
    </row>
    <row r="89" spans="2:30" x14ac:dyDescent="0.2">
      <c r="B89" s="332"/>
      <c r="C89" s="333"/>
      <c r="D89" s="335"/>
      <c r="E89" s="213" t="s">
        <v>41</v>
      </c>
      <c r="F89" s="206" t="str">
        <f>VLOOKUP(B88,'Тарифный метод'!$A$4:$L$46,11,0)</f>
        <v>Не ЖНВЛП</v>
      </c>
      <c r="G89" s="337"/>
      <c r="H89" s="207"/>
      <c r="I89" s="207"/>
      <c r="J89" s="209"/>
      <c r="K89" s="175"/>
      <c r="L89" s="175"/>
      <c r="M89" s="175"/>
      <c r="N89" s="201"/>
      <c r="O89" s="201"/>
      <c r="P89" s="201"/>
      <c r="Q89" s="201"/>
      <c r="R89" s="201"/>
      <c r="S89" s="201"/>
      <c r="T89" s="201"/>
      <c r="U89" s="201"/>
      <c r="V89" s="201"/>
      <c r="W89" s="201"/>
      <c r="X89" s="201"/>
      <c r="Y89" s="202"/>
      <c r="Z89" s="202"/>
      <c r="AA89" s="202"/>
      <c r="AB89" s="201"/>
      <c r="AC89" s="203"/>
      <c r="AD89" s="204"/>
    </row>
    <row r="90" spans="2:30" x14ac:dyDescent="0.2">
      <c r="B90" s="332"/>
      <c r="C90" s="333"/>
      <c r="D90" s="335"/>
      <c r="E90" s="213" t="s">
        <v>42</v>
      </c>
      <c r="F90" s="206" t="str">
        <f>VLOOKUP(B88,'Средневзвешенная цена'!$D$6:$P$36,9,0)</f>
        <v>нет</v>
      </c>
      <c r="G90" s="337"/>
      <c r="H90" s="207"/>
      <c r="I90" s="207"/>
      <c r="J90" s="209"/>
      <c r="K90" s="175"/>
      <c r="L90" s="175"/>
      <c r="M90" s="175"/>
      <c r="N90" s="201"/>
      <c r="O90" s="201"/>
      <c r="P90" s="201"/>
      <c r="Q90" s="201"/>
      <c r="R90" s="201"/>
      <c r="S90" s="201"/>
      <c r="T90" s="201"/>
      <c r="U90" s="201"/>
      <c r="V90" s="201"/>
      <c r="W90" s="201"/>
      <c r="X90" s="201"/>
      <c r="Y90" s="202"/>
      <c r="Z90" s="202"/>
      <c r="AA90" s="202"/>
      <c r="AB90" s="201"/>
      <c r="AC90" s="203"/>
      <c r="AD90" s="204"/>
    </row>
    <row r="91" spans="2:30" ht="12.75" thickBot="1" x14ac:dyDescent="0.25">
      <c r="B91" s="338"/>
      <c r="C91" s="339"/>
      <c r="D91" s="340"/>
      <c r="E91" s="220" t="s">
        <v>43</v>
      </c>
      <c r="F91" s="218" t="s">
        <v>186</v>
      </c>
      <c r="G91" s="343"/>
      <c r="H91" s="207"/>
      <c r="I91" s="207"/>
      <c r="J91" s="209"/>
      <c r="K91" s="175"/>
      <c r="L91" s="175"/>
      <c r="M91" s="175"/>
      <c r="N91" s="201"/>
      <c r="O91" s="201"/>
      <c r="P91" s="201"/>
      <c r="Q91" s="201"/>
      <c r="R91" s="201"/>
      <c r="S91" s="201"/>
      <c r="T91" s="201"/>
      <c r="U91" s="201"/>
      <c r="V91" s="201"/>
      <c r="W91" s="201"/>
      <c r="X91" s="201"/>
      <c r="Y91" s="202"/>
      <c r="Z91" s="202"/>
      <c r="AA91" s="202"/>
      <c r="AB91" s="201"/>
      <c r="AC91" s="203"/>
      <c r="AD91" s="204"/>
    </row>
    <row r="92" spans="2:30" x14ac:dyDescent="0.2">
      <c r="B92" s="331">
        <v>27</v>
      </c>
      <c r="C92" s="333">
        <v>23</v>
      </c>
      <c r="D92" s="334" t="str">
        <f>VLOOKUP(B92,'Анализ рынка'!$A$8:$AL$50,6,0)</f>
        <v>Перекись водорода 3% 100 мл</v>
      </c>
      <c r="E92" s="219" t="s">
        <v>40</v>
      </c>
      <c r="F92" s="216">
        <f>VLOOKUP(B92,'Анализ рынка'!$A:$AL,31,0)</f>
        <v>0.1</v>
      </c>
      <c r="G92" s="336">
        <f t="shared" si="10"/>
        <v>0.1</v>
      </c>
      <c r="H92" s="207"/>
      <c r="I92" s="207"/>
      <c r="J92" s="209"/>
      <c r="K92" s="175"/>
      <c r="L92" s="175"/>
      <c r="M92" s="175"/>
      <c r="N92" s="201"/>
      <c r="O92" s="201"/>
      <c r="P92" s="201"/>
      <c r="Q92" s="201"/>
      <c r="R92" s="201"/>
      <c r="S92" s="201"/>
      <c r="T92" s="201"/>
      <c r="U92" s="201"/>
      <c r="V92" s="201"/>
      <c r="W92" s="201"/>
      <c r="X92" s="201"/>
      <c r="Y92" s="202"/>
      <c r="Z92" s="202"/>
      <c r="AA92" s="202"/>
      <c r="AB92" s="201"/>
      <c r="AC92" s="203"/>
      <c r="AD92" s="204"/>
    </row>
    <row r="93" spans="2:30" x14ac:dyDescent="0.2">
      <c r="B93" s="332"/>
      <c r="C93" s="333"/>
      <c r="D93" s="335"/>
      <c r="E93" s="213" t="s">
        <v>41</v>
      </c>
      <c r="F93" s="206">
        <f>VLOOKUP(B92,'Тарифный метод'!$A$4:$L$46,11,0)</f>
        <v>6.480000000000001E-2</v>
      </c>
      <c r="G93" s="337"/>
      <c r="H93" s="207"/>
      <c r="I93" s="207"/>
      <c r="J93" s="209"/>
      <c r="K93" s="175"/>
      <c r="L93" s="175"/>
      <c r="M93" s="175"/>
      <c r="N93" s="201"/>
      <c r="O93" s="201"/>
      <c r="P93" s="201"/>
      <c r="Q93" s="201"/>
      <c r="R93" s="201"/>
      <c r="S93" s="201"/>
      <c r="T93" s="201"/>
      <c r="U93" s="201"/>
      <c r="V93" s="201"/>
      <c r="W93" s="201"/>
      <c r="X93" s="201"/>
      <c r="Y93" s="202"/>
      <c r="Z93" s="202"/>
      <c r="AA93" s="202"/>
      <c r="AB93" s="201"/>
      <c r="AC93" s="203"/>
      <c r="AD93" s="204"/>
    </row>
    <row r="94" spans="2:30" x14ac:dyDescent="0.2">
      <c r="B94" s="332"/>
      <c r="C94" s="333"/>
      <c r="D94" s="335"/>
      <c r="E94" s="213" t="s">
        <v>42</v>
      </c>
      <c r="F94" s="206" t="str">
        <f>VLOOKUP(B92,'Средневзвешенная цена'!$D$6:$P$36,9,0)</f>
        <v>нет</v>
      </c>
      <c r="G94" s="337"/>
      <c r="H94" s="207"/>
      <c r="I94" s="207"/>
      <c r="J94" s="209"/>
      <c r="K94" s="175"/>
      <c r="L94" s="175"/>
      <c r="M94" s="175"/>
      <c r="N94" s="201"/>
      <c r="O94" s="201"/>
      <c r="P94" s="201"/>
      <c r="Q94" s="201"/>
      <c r="R94" s="201"/>
      <c r="S94" s="201"/>
      <c r="T94" s="201"/>
      <c r="U94" s="201"/>
      <c r="V94" s="201"/>
      <c r="W94" s="201"/>
      <c r="X94" s="201"/>
      <c r="Y94" s="202"/>
      <c r="Z94" s="202"/>
      <c r="AA94" s="202"/>
      <c r="AB94" s="201"/>
      <c r="AC94" s="203"/>
      <c r="AD94" s="204"/>
    </row>
    <row r="95" spans="2:30" ht="12.75" thickBot="1" x14ac:dyDescent="0.25">
      <c r="B95" s="338"/>
      <c r="C95" s="339"/>
      <c r="D95" s="340"/>
      <c r="E95" s="220" t="s">
        <v>43</v>
      </c>
      <c r="F95" s="218" t="s">
        <v>186</v>
      </c>
      <c r="G95" s="343"/>
      <c r="H95" s="207"/>
      <c r="I95" s="207"/>
      <c r="J95" s="209"/>
      <c r="K95" s="175"/>
      <c r="L95" s="175"/>
      <c r="M95" s="175"/>
      <c r="N95" s="201"/>
      <c r="O95" s="201"/>
      <c r="P95" s="201"/>
      <c r="Q95" s="201"/>
      <c r="R95" s="201"/>
      <c r="S95" s="201"/>
      <c r="T95" s="201"/>
      <c r="U95" s="201"/>
      <c r="V95" s="201"/>
      <c r="W95" s="201"/>
      <c r="X95" s="201"/>
      <c r="Y95" s="202"/>
      <c r="Z95" s="202"/>
      <c r="AA95" s="202"/>
      <c r="AB95" s="201"/>
      <c r="AC95" s="203"/>
      <c r="AD95" s="204"/>
    </row>
    <row r="96" spans="2:30" x14ac:dyDescent="0.2">
      <c r="B96" s="331">
        <v>28</v>
      </c>
      <c r="C96" s="333">
        <v>24</v>
      </c>
      <c r="D96" s="334" t="str">
        <f>VLOOKUP(B96,'Анализ рынка'!$A$8:$AL$50,6,0)</f>
        <v>Хлоргексидина биглюконата раствор 0,05% 100 мл</v>
      </c>
      <c r="E96" s="219" t="s">
        <v>40</v>
      </c>
      <c r="F96" s="216">
        <f>VLOOKUP(B96,'Анализ рынка'!$A:$AL,31,0)</f>
        <v>0.18</v>
      </c>
      <c r="G96" s="336">
        <f t="shared" ref="G96:G116" si="11">IFERROR(IFERROR(IFERROR(SMALL(F96:F99,$H$3),SMALL(F96:F99,2)),SMALL(F96:F99,2)),SMALL(F96:F99,1))</f>
        <v>0.18</v>
      </c>
      <c r="H96" s="207"/>
      <c r="I96" s="207"/>
      <c r="J96" s="209"/>
      <c r="K96" s="175"/>
      <c r="L96" s="175"/>
      <c r="M96" s="175"/>
      <c r="N96" s="201"/>
      <c r="O96" s="201"/>
      <c r="P96" s="201"/>
      <c r="Q96" s="201"/>
      <c r="R96" s="201"/>
      <c r="S96" s="201"/>
      <c r="T96" s="201"/>
      <c r="U96" s="201"/>
      <c r="V96" s="201"/>
      <c r="W96" s="201"/>
      <c r="X96" s="201"/>
      <c r="Y96" s="202"/>
      <c r="Z96" s="202"/>
      <c r="AA96" s="202"/>
      <c r="AB96" s="201"/>
      <c r="AC96" s="203"/>
      <c r="AD96" s="204"/>
    </row>
    <row r="97" spans="2:30" x14ac:dyDescent="0.2">
      <c r="B97" s="341"/>
      <c r="C97" s="333"/>
      <c r="D97" s="342"/>
      <c r="E97" s="213" t="s">
        <v>41</v>
      </c>
      <c r="F97" s="206">
        <f>VLOOKUP(B96,'Тарифный метод'!$A$4:$L$46,11,0)</f>
        <v>0.13039999999999999</v>
      </c>
      <c r="G97" s="337"/>
      <c r="H97" s="207"/>
      <c r="I97" s="207"/>
      <c r="J97" s="209"/>
      <c r="K97" s="175"/>
      <c r="L97" s="175"/>
      <c r="M97" s="175"/>
      <c r="N97" s="201"/>
      <c r="O97" s="201"/>
      <c r="P97" s="201"/>
      <c r="Q97" s="201"/>
      <c r="R97" s="201"/>
      <c r="S97" s="201"/>
      <c r="T97" s="201"/>
      <c r="U97" s="201"/>
      <c r="V97" s="201"/>
      <c r="W97" s="201"/>
      <c r="X97" s="201"/>
      <c r="Y97" s="202"/>
      <c r="Z97" s="202"/>
      <c r="AA97" s="202"/>
      <c r="AB97" s="201"/>
      <c r="AC97" s="203"/>
      <c r="AD97" s="204"/>
    </row>
    <row r="98" spans="2:30" x14ac:dyDescent="0.2">
      <c r="B98" s="332"/>
      <c r="C98" s="333"/>
      <c r="D98" s="335"/>
      <c r="E98" s="213" t="s">
        <v>42</v>
      </c>
      <c r="F98" s="206" t="str">
        <f>VLOOKUP(B96,'Средневзвешенная цена'!$D$6:$P$36,9,0)</f>
        <v>нет</v>
      </c>
      <c r="G98" s="337"/>
      <c r="H98" s="207"/>
      <c r="I98" s="207"/>
      <c r="J98" s="209"/>
      <c r="K98" s="175"/>
      <c r="L98" s="175"/>
      <c r="M98" s="175"/>
      <c r="N98" s="201"/>
      <c r="O98" s="201"/>
      <c r="P98" s="201"/>
      <c r="Q98" s="201"/>
      <c r="R98" s="201"/>
      <c r="S98" s="201"/>
      <c r="T98" s="201"/>
      <c r="U98" s="201"/>
      <c r="V98" s="201"/>
      <c r="W98" s="201"/>
      <c r="X98" s="201"/>
      <c r="Y98" s="202"/>
      <c r="Z98" s="202"/>
      <c r="AA98" s="202"/>
      <c r="AB98" s="201"/>
      <c r="AC98" s="203"/>
      <c r="AD98" s="204"/>
    </row>
    <row r="99" spans="2:30" ht="12.75" thickBot="1" x14ac:dyDescent="0.25">
      <c r="B99" s="338"/>
      <c r="C99" s="339"/>
      <c r="D99" s="340"/>
      <c r="E99" s="220" t="s">
        <v>43</v>
      </c>
      <c r="F99" s="218" t="s">
        <v>186</v>
      </c>
      <c r="G99" s="343"/>
      <c r="H99" s="207"/>
      <c r="I99" s="207"/>
      <c r="J99" s="209"/>
      <c r="K99" s="175"/>
      <c r="L99" s="175"/>
      <c r="M99" s="175"/>
      <c r="N99" s="201"/>
      <c r="O99" s="201"/>
      <c r="P99" s="201"/>
      <c r="Q99" s="201"/>
      <c r="R99" s="201"/>
      <c r="S99" s="201"/>
      <c r="T99" s="201"/>
      <c r="U99" s="201"/>
      <c r="V99" s="201"/>
      <c r="W99" s="201"/>
      <c r="X99" s="201"/>
      <c r="Y99" s="202"/>
      <c r="Z99" s="202"/>
      <c r="AA99" s="202"/>
      <c r="AB99" s="201"/>
      <c r="AC99" s="203"/>
      <c r="AD99" s="204"/>
    </row>
    <row r="100" spans="2:30" x14ac:dyDescent="0.2">
      <c r="B100" s="331">
        <v>29</v>
      </c>
      <c r="C100" s="333">
        <v>25</v>
      </c>
      <c r="D100" s="334" t="str">
        <f>VLOOKUP(B100,'Анализ рынка'!$A$8:$AL$50,6,0)</f>
        <v>Сульфацил натрия 20%  1,5 мл №2</v>
      </c>
      <c r="E100" s="219" t="s">
        <v>40</v>
      </c>
      <c r="F100" s="216">
        <f>VLOOKUP(B100,'Анализ рынка'!$A:$AL,31,0)</f>
        <v>38.18</v>
      </c>
      <c r="G100" s="336">
        <f t="shared" si="11"/>
        <v>38.18</v>
      </c>
      <c r="H100" s="207"/>
      <c r="I100" s="207"/>
      <c r="J100" s="209"/>
      <c r="K100" s="175"/>
      <c r="L100" s="175"/>
      <c r="M100" s="175"/>
      <c r="N100" s="201"/>
      <c r="O100" s="201"/>
      <c r="P100" s="201"/>
      <c r="Q100" s="201"/>
      <c r="R100" s="201"/>
      <c r="S100" s="201"/>
      <c r="T100" s="201"/>
      <c r="U100" s="201"/>
      <c r="V100" s="201"/>
      <c r="W100" s="201"/>
      <c r="X100" s="201"/>
      <c r="Y100" s="202"/>
      <c r="Z100" s="202"/>
      <c r="AA100" s="202"/>
      <c r="AB100" s="201"/>
      <c r="AC100" s="203"/>
      <c r="AD100" s="204"/>
    </row>
    <row r="101" spans="2:30" x14ac:dyDescent="0.2">
      <c r="B101" s="341"/>
      <c r="C101" s="333"/>
      <c r="D101" s="342"/>
      <c r="E101" s="213" t="s">
        <v>41</v>
      </c>
      <c r="F101" s="206" t="str">
        <f>VLOOKUP(B100,'Тарифный метод'!$A$4:$L$46,11,0)</f>
        <v>Не ЖНВЛП</v>
      </c>
      <c r="G101" s="337"/>
      <c r="H101" s="207"/>
      <c r="I101" s="207"/>
      <c r="J101" s="209"/>
      <c r="K101" s="175"/>
      <c r="L101" s="175"/>
      <c r="M101" s="175"/>
      <c r="N101" s="201"/>
      <c r="O101" s="201"/>
      <c r="P101" s="201"/>
      <c r="Q101" s="201"/>
      <c r="R101" s="201"/>
      <c r="S101" s="201"/>
      <c r="T101" s="201"/>
      <c r="U101" s="201"/>
      <c r="V101" s="201"/>
      <c r="W101" s="201"/>
      <c r="X101" s="201"/>
      <c r="Y101" s="202"/>
      <c r="Z101" s="202"/>
      <c r="AA101" s="202"/>
      <c r="AB101" s="201"/>
      <c r="AC101" s="203"/>
      <c r="AD101" s="204"/>
    </row>
    <row r="102" spans="2:30" x14ac:dyDescent="0.2">
      <c r="B102" s="332"/>
      <c r="C102" s="333"/>
      <c r="D102" s="335"/>
      <c r="E102" s="213" t="s">
        <v>42</v>
      </c>
      <c r="F102" s="206" t="str">
        <f>VLOOKUP(B100,'Средневзвешенная цена'!$D$6:$P$36,9,0)</f>
        <v>нет</v>
      </c>
      <c r="G102" s="337"/>
      <c r="H102" s="207"/>
      <c r="I102" s="207"/>
      <c r="J102" s="209"/>
      <c r="K102" s="175"/>
      <c r="L102" s="175"/>
      <c r="M102" s="175"/>
      <c r="N102" s="201"/>
      <c r="O102" s="201"/>
      <c r="P102" s="201"/>
      <c r="Q102" s="201"/>
      <c r="R102" s="201"/>
      <c r="S102" s="201"/>
      <c r="T102" s="201"/>
      <c r="U102" s="201"/>
      <c r="V102" s="201"/>
      <c r="W102" s="201"/>
      <c r="X102" s="201"/>
      <c r="Y102" s="202"/>
      <c r="Z102" s="202"/>
      <c r="AA102" s="202"/>
      <c r="AB102" s="201"/>
      <c r="AC102" s="203"/>
      <c r="AD102" s="204"/>
    </row>
    <row r="103" spans="2:30" ht="12.75" thickBot="1" x14ac:dyDescent="0.25">
      <c r="B103" s="338"/>
      <c r="C103" s="339"/>
      <c r="D103" s="340"/>
      <c r="E103" s="220" t="s">
        <v>43</v>
      </c>
      <c r="F103" s="218" t="s">
        <v>186</v>
      </c>
      <c r="G103" s="343"/>
      <c r="H103" s="207"/>
      <c r="I103" s="207"/>
      <c r="J103" s="209"/>
      <c r="K103" s="175"/>
      <c r="L103" s="175"/>
      <c r="M103" s="175"/>
      <c r="N103" s="201"/>
      <c r="O103" s="201"/>
      <c r="P103" s="201"/>
      <c r="Q103" s="201"/>
      <c r="R103" s="201"/>
      <c r="S103" s="201"/>
      <c r="T103" s="201"/>
      <c r="U103" s="201"/>
      <c r="V103" s="201"/>
      <c r="W103" s="201"/>
      <c r="X103" s="201"/>
      <c r="Y103" s="202"/>
      <c r="Z103" s="202"/>
      <c r="AA103" s="202"/>
      <c r="AB103" s="201"/>
      <c r="AC103" s="203"/>
      <c r="AD103" s="204"/>
    </row>
    <row r="104" spans="2:30" x14ac:dyDescent="0.2">
      <c r="B104" s="331">
        <v>31</v>
      </c>
      <c r="C104" s="333">
        <v>26</v>
      </c>
      <c r="D104" s="334" t="str">
        <f>VLOOKUP(B104,'Анализ рынка'!$A$8:$AL$50,6,0)</f>
        <v>Клей БФ-6 10 г</v>
      </c>
      <c r="E104" s="219" t="s">
        <v>40</v>
      </c>
      <c r="F104" s="216">
        <f>VLOOKUP(B104,'Анализ рынка'!$A:$AL,31,0)</f>
        <v>16.899999999999999</v>
      </c>
      <c r="G104" s="336">
        <f t="shared" si="11"/>
        <v>16.899999999999999</v>
      </c>
      <c r="H104" s="207"/>
      <c r="I104" s="207"/>
      <c r="J104" s="209"/>
      <c r="K104" s="175"/>
      <c r="L104" s="175"/>
      <c r="M104" s="175"/>
      <c r="N104" s="201"/>
      <c r="O104" s="201"/>
      <c r="P104" s="201"/>
      <c r="Q104" s="201"/>
      <c r="R104" s="201"/>
      <c r="S104" s="201"/>
      <c r="T104" s="201"/>
      <c r="U104" s="201"/>
      <c r="V104" s="201"/>
      <c r="W104" s="201"/>
      <c r="X104" s="201"/>
      <c r="Y104" s="202"/>
      <c r="Z104" s="202"/>
      <c r="AA104" s="202"/>
      <c r="AB104" s="201"/>
      <c r="AC104" s="203"/>
      <c r="AD104" s="204"/>
    </row>
    <row r="105" spans="2:30" x14ac:dyDescent="0.2">
      <c r="B105" s="332"/>
      <c r="C105" s="333"/>
      <c r="D105" s="335"/>
      <c r="E105" s="213" t="s">
        <v>41</v>
      </c>
      <c r="F105" s="206" t="str">
        <f>VLOOKUP(B104,'Тарифный метод'!$A$4:$L$46,11,0)</f>
        <v>Не ЖНВЛП</v>
      </c>
      <c r="G105" s="337"/>
      <c r="H105" s="207"/>
      <c r="I105" s="207"/>
      <c r="J105" s="209"/>
      <c r="K105" s="175"/>
      <c r="L105" s="175"/>
      <c r="M105" s="175"/>
      <c r="N105" s="201"/>
      <c r="O105" s="201"/>
      <c r="P105" s="201"/>
      <c r="Q105" s="201"/>
      <c r="R105" s="201"/>
      <c r="S105" s="201"/>
      <c r="T105" s="201"/>
      <c r="U105" s="201"/>
      <c r="V105" s="201"/>
      <c r="W105" s="201"/>
      <c r="X105" s="201"/>
      <c r="Y105" s="202"/>
      <c r="Z105" s="202"/>
      <c r="AA105" s="202"/>
      <c r="AB105" s="201"/>
      <c r="AC105" s="203"/>
      <c r="AD105" s="204"/>
    </row>
    <row r="106" spans="2:30" x14ac:dyDescent="0.2">
      <c r="B106" s="332"/>
      <c r="C106" s="333"/>
      <c r="D106" s="335"/>
      <c r="E106" s="213" t="s">
        <v>42</v>
      </c>
      <c r="F106" s="206" t="str">
        <f>VLOOKUP(B104,'Средневзвешенная цена'!$D$6:$P$36,9,0)</f>
        <v>нет</v>
      </c>
      <c r="G106" s="337"/>
      <c r="H106" s="207"/>
      <c r="I106" s="207"/>
      <c r="J106" s="209"/>
      <c r="K106" s="175"/>
      <c r="L106" s="175"/>
      <c r="M106" s="175"/>
      <c r="N106" s="201"/>
      <c r="O106" s="201"/>
      <c r="P106" s="201"/>
      <c r="Q106" s="201"/>
      <c r="R106" s="201"/>
      <c r="S106" s="201"/>
      <c r="T106" s="201"/>
      <c r="U106" s="201"/>
      <c r="V106" s="201"/>
      <c r="W106" s="201"/>
      <c r="X106" s="201"/>
      <c r="Y106" s="202"/>
      <c r="Z106" s="202"/>
      <c r="AA106" s="202"/>
      <c r="AB106" s="201"/>
      <c r="AC106" s="203"/>
      <c r="AD106" s="204"/>
    </row>
    <row r="107" spans="2:30" ht="12.75" thickBot="1" x14ac:dyDescent="0.25">
      <c r="B107" s="338"/>
      <c r="C107" s="339"/>
      <c r="D107" s="340"/>
      <c r="E107" s="220" t="s">
        <v>43</v>
      </c>
      <c r="F107" s="218" t="s">
        <v>186</v>
      </c>
      <c r="G107" s="343"/>
      <c r="H107" s="207"/>
      <c r="I107" s="207"/>
      <c r="J107" s="209"/>
      <c r="K107" s="175"/>
      <c r="L107" s="175"/>
      <c r="M107" s="175"/>
      <c r="N107" s="201"/>
      <c r="O107" s="201"/>
      <c r="P107" s="201"/>
      <c r="Q107" s="201"/>
      <c r="R107" s="201"/>
      <c r="S107" s="201"/>
      <c r="T107" s="201"/>
      <c r="U107" s="201"/>
      <c r="V107" s="201"/>
      <c r="W107" s="201"/>
      <c r="X107" s="201"/>
      <c r="Y107" s="202"/>
      <c r="Z107" s="202"/>
      <c r="AA107" s="202"/>
      <c r="AB107" s="201"/>
      <c r="AC107" s="203"/>
      <c r="AD107" s="204"/>
    </row>
    <row r="108" spans="2:30" x14ac:dyDescent="0.2">
      <c r="B108" s="331">
        <v>32</v>
      </c>
      <c r="C108" s="333">
        <v>27</v>
      </c>
      <c r="D108" s="334" t="str">
        <f>VLOOKUP(B108,'Анализ рынка'!$A$8:$AL$50,6,0)</f>
        <v>Лидокаин 10%</v>
      </c>
      <c r="E108" s="219" t="s">
        <v>40</v>
      </c>
      <c r="F108" s="216">
        <f>VLOOKUP(B108,'Анализ рынка'!$A:$AL,31,0)</f>
        <v>7.86</v>
      </c>
      <c r="G108" s="336">
        <f t="shared" si="11"/>
        <v>7.86</v>
      </c>
      <c r="H108" s="207"/>
      <c r="I108" s="207"/>
      <c r="J108" s="209"/>
      <c r="K108" s="175"/>
      <c r="L108" s="175"/>
      <c r="M108" s="175"/>
      <c r="N108" s="201"/>
      <c r="O108" s="201"/>
      <c r="P108" s="201"/>
      <c r="Q108" s="201"/>
      <c r="R108" s="201"/>
      <c r="S108" s="201"/>
      <c r="T108" s="201"/>
      <c r="U108" s="201"/>
      <c r="V108" s="201"/>
      <c r="W108" s="201"/>
      <c r="X108" s="201"/>
      <c r="Y108" s="202"/>
      <c r="Z108" s="202"/>
      <c r="AA108" s="202"/>
      <c r="AB108" s="201"/>
      <c r="AC108" s="203"/>
      <c r="AD108" s="204"/>
    </row>
    <row r="109" spans="2:30" x14ac:dyDescent="0.2">
      <c r="B109" s="341"/>
      <c r="C109" s="333"/>
      <c r="D109" s="342"/>
      <c r="E109" s="213" t="s">
        <v>41</v>
      </c>
      <c r="F109" s="206">
        <f>VLOOKUP(B108,'Тарифный метод'!$A$4:$L$46,11,0)</f>
        <v>6.2949999999999999</v>
      </c>
      <c r="G109" s="337"/>
      <c r="H109" s="207"/>
      <c r="I109" s="207"/>
      <c r="J109" s="209"/>
      <c r="K109" s="175"/>
      <c r="L109" s="175"/>
      <c r="M109" s="175"/>
      <c r="N109" s="201"/>
      <c r="O109" s="201"/>
      <c r="P109" s="201"/>
      <c r="Q109" s="201"/>
      <c r="R109" s="201"/>
      <c r="S109" s="201"/>
      <c r="T109" s="201"/>
      <c r="U109" s="201"/>
      <c r="V109" s="201"/>
      <c r="W109" s="201"/>
      <c r="X109" s="201"/>
      <c r="Y109" s="202"/>
      <c r="Z109" s="202"/>
      <c r="AA109" s="202"/>
      <c r="AB109" s="201"/>
      <c r="AC109" s="203"/>
      <c r="AD109" s="204"/>
    </row>
    <row r="110" spans="2:30" x14ac:dyDescent="0.2">
      <c r="B110" s="332"/>
      <c r="C110" s="333"/>
      <c r="D110" s="335"/>
      <c r="E110" s="213" t="s">
        <v>42</v>
      </c>
      <c r="F110" s="206" t="s">
        <v>180</v>
      </c>
      <c r="G110" s="337"/>
      <c r="H110" s="207"/>
      <c r="I110" s="207"/>
      <c r="J110" s="209"/>
      <c r="K110" s="175"/>
      <c r="L110" s="175"/>
      <c r="M110" s="175"/>
      <c r="N110" s="201"/>
      <c r="O110" s="201"/>
      <c r="P110" s="201"/>
      <c r="Q110" s="201"/>
      <c r="R110" s="201"/>
      <c r="S110" s="201"/>
      <c r="T110" s="201"/>
      <c r="U110" s="201"/>
      <c r="V110" s="201"/>
      <c r="W110" s="201"/>
      <c r="X110" s="201"/>
      <c r="Y110" s="202"/>
      <c r="Z110" s="202"/>
      <c r="AA110" s="202"/>
      <c r="AB110" s="201"/>
      <c r="AC110" s="203"/>
      <c r="AD110" s="204"/>
    </row>
    <row r="111" spans="2:30" ht="12.75" thickBot="1" x14ac:dyDescent="0.25">
      <c r="B111" s="338"/>
      <c r="C111" s="339"/>
      <c r="D111" s="340"/>
      <c r="E111" s="220" t="s">
        <v>43</v>
      </c>
      <c r="F111" s="218" t="s">
        <v>186</v>
      </c>
      <c r="G111" s="343"/>
      <c r="H111" s="207"/>
      <c r="I111" s="207"/>
      <c r="J111" s="209"/>
      <c r="K111" s="175"/>
      <c r="L111" s="175"/>
      <c r="M111" s="175"/>
      <c r="N111" s="201"/>
      <c r="O111" s="201"/>
      <c r="P111" s="201"/>
      <c r="Q111" s="201"/>
      <c r="R111" s="201"/>
      <c r="S111" s="201"/>
      <c r="T111" s="201"/>
      <c r="U111" s="201"/>
      <c r="V111" s="201"/>
      <c r="W111" s="201"/>
      <c r="X111" s="201"/>
      <c r="Y111" s="202"/>
      <c r="Z111" s="202"/>
      <c r="AA111" s="202"/>
      <c r="AB111" s="201"/>
      <c r="AC111" s="203"/>
      <c r="AD111" s="204"/>
    </row>
    <row r="112" spans="2:30" x14ac:dyDescent="0.2">
      <c r="B112" s="331">
        <v>33</v>
      </c>
      <c r="C112" s="333">
        <v>28</v>
      </c>
      <c r="D112" s="334" t="str">
        <f>VLOOKUP(B112,'Анализ рынка'!$A$8:$AL$50,6,0)</f>
        <v>Трихопол 250 мг № 20</v>
      </c>
      <c r="E112" s="219" t="s">
        <v>40</v>
      </c>
      <c r="F112" s="216">
        <f>VLOOKUP(B112,'Анализ рынка'!$A:$AL,31,0)</f>
        <v>4.07</v>
      </c>
      <c r="G112" s="336">
        <f t="shared" si="11"/>
        <v>4.07</v>
      </c>
      <c r="H112" s="207"/>
      <c r="I112" s="207"/>
      <c r="J112" s="209"/>
      <c r="K112" s="175"/>
      <c r="L112" s="175"/>
      <c r="M112" s="175"/>
      <c r="N112" s="201"/>
      <c r="O112" s="201"/>
      <c r="P112" s="201"/>
      <c r="Q112" s="201"/>
      <c r="R112" s="201"/>
      <c r="S112" s="201"/>
      <c r="T112" s="201"/>
      <c r="U112" s="201"/>
      <c r="V112" s="201"/>
      <c r="W112" s="201"/>
      <c r="X112" s="201"/>
      <c r="Y112" s="202"/>
      <c r="Z112" s="202"/>
      <c r="AA112" s="202"/>
      <c r="AB112" s="201"/>
      <c r="AC112" s="203"/>
      <c r="AD112" s="204"/>
    </row>
    <row r="113" spans="2:30" x14ac:dyDescent="0.2">
      <c r="B113" s="341"/>
      <c r="C113" s="333"/>
      <c r="D113" s="342"/>
      <c r="E113" s="213" t="s">
        <v>41</v>
      </c>
      <c r="F113" s="206">
        <f>VLOOKUP(B112,'Тарифный метод'!$A$4:$L$46,11,0)</f>
        <v>3.4579999999999997</v>
      </c>
      <c r="G113" s="337"/>
      <c r="H113" s="207"/>
      <c r="I113" s="207"/>
      <c r="J113" s="209"/>
      <c r="K113" s="175"/>
      <c r="L113" s="175"/>
      <c r="M113" s="175"/>
      <c r="N113" s="201"/>
      <c r="O113" s="201"/>
      <c r="P113" s="201"/>
      <c r="Q113" s="201"/>
      <c r="R113" s="201"/>
      <c r="S113" s="201"/>
      <c r="T113" s="201"/>
      <c r="U113" s="201"/>
      <c r="V113" s="201"/>
      <c r="W113" s="201"/>
      <c r="X113" s="201"/>
      <c r="Y113" s="202"/>
      <c r="Z113" s="202"/>
      <c r="AA113" s="202"/>
      <c r="AB113" s="201"/>
      <c r="AC113" s="203"/>
      <c r="AD113" s="204"/>
    </row>
    <row r="114" spans="2:30" x14ac:dyDescent="0.2">
      <c r="B114" s="332"/>
      <c r="C114" s="333"/>
      <c r="D114" s="335"/>
      <c r="E114" s="213" t="s">
        <v>42</v>
      </c>
      <c r="F114" s="206" t="s">
        <v>180</v>
      </c>
      <c r="G114" s="337"/>
      <c r="H114" s="207"/>
      <c r="I114" s="207"/>
      <c r="J114" s="209"/>
      <c r="K114" s="175"/>
      <c r="L114" s="175"/>
      <c r="M114" s="175"/>
      <c r="N114" s="201"/>
      <c r="O114" s="201"/>
      <c r="P114" s="201"/>
      <c r="Q114" s="201"/>
      <c r="R114" s="201"/>
      <c r="S114" s="201"/>
      <c r="T114" s="201"/>
      <c r="U114" s="201"/>
      <c r="V114" s="201"/>
      <c r="W114" s="201"/>
      <c r="X114" s="201"/>
      <c r="Y114" s="202"/>
      <c r="Z114" s="202"/>
      <c r="AA114" s="202"/>
      <c r="AB114" s="201"/>
      <c r="AC114" s="203"/>
      <c r="AD114" s="204"/>
    </row>
    <row r="115" spans="2:30" ht="12.75" thickBot="1" x14ac:dyDescent="0.25">
      <c r="B115" s="338"/>
      <c r="C115" s="339"/>
      <c r="D115" s="340"/>
      <c r="E115" s="220" t="s">
        <v>43</v>
      </c>
      <c r="F115" s="218" t="s">
        <v>186</v>
      </c>
      <c r="G115" s="343"/>
      <c r="H115" s="207"/>
      <c r="I115" s="207"/>
      <c r="J115" s="209"/>
      <c r="K115" s="175"/>
      <c r="L115" s="175"/>
      <c r="M115" s="175"/>
      <c r="N115" s="201"/>
      <c r="O115" s="201"/>
      <c r="P115" s="201"/>
      <c r="Q115" s="201"/>
      <c r="R115" s="201"/>
      <c r="S115" s="201"/>
      <c r="T115" s="201"/>
      <c r="U115" s="201"/>
      <c r="V115" s="201"/>
      <c r="W115" s="201"/>
      <c r="X115" s="201"/>
      <c r="Y115" s="202"/>
      <c r="Z115" s="202"/>
      <c r="AA115" s="202"/>
      <c r="AB115" s="201"/>
      <c r="AC115" s="203"/>
      <c r="AD115" s="204"/>
    </row>
    <row r="116" spans="2:30" x14ac:dyDescent="0.2">
      <c r="B116" s="331">
        <v>34</v>
      </c>
      <c r="C116" s="333">
        <v>29</v>
      </c>
      <c r="D116" s="334" t="str">
        <f>VLOOKUP(B116,'Анализ рынка'!$A$8:$AL$50,6,0)</f>
        <v>Тетрациклин 100 мг № 20</v>
      </c>
      <c r="E116" s="219" t="s">
        <v>40</v>
      </c>
      <c r="F116" s="216">
        <f>VLOOKUP(B116,'Анализ рынка'!$A:$AL,31,0)</f>
        <v>7</v>
      </c>
      <c r="G116" s="336">
        <f t="shared" si="11"/>
        <v>7</v>
      </c>
      <c r="H116" s="207"/>
      <c r="I116" s="207"/>
      <c r="J116" s="209"/>
      <c r="K116" s="175"/>
      <c r="L116" s="175"/>
      <c r="M116" s="175"/>
      <c r="N116" s="201"/>
      <c r="O116" s="201"/>
      <c r="P116" s="201"/>
      <c r="Q116" s="201"/>
      <c r="R116" s="201"/>
      <c r="S116" s="201"/>
      <c r="T116" s="201"/>
      <c r="U116" s="201"/>
      <c r="V116" s="201"/>
      <c r="W116" s="201"/>
      <c r="X116" s="201"/>
      <c r="Y116" s="202"/>
      <c r="Z116" s="202"/>
      <c r="AA116" s="202"/>
      <c r="AB116" s="201"/>
      <c r="AC116" s="203"/>
      <c r="AD116" s="204"/>
    </row>
    <row r="117" spans="2:30" x14ac:dyDescent="0.2">
      <c r="B117" s="332"/>
      <c r="C117" s="333"/>
      <c r="D117" s="335"/>
      <c r="E117" s="213" t="s">
        <v>41</v>
      </c>
      <c r="F117" s="206" t="str">
        <f>VLOOKUP(B116,'Тарифный метод'!$A$4:$L$46,11,0)</f>
        <v>Не ЖНВЛП</v>
      </c>
      <c r="G117" s="337"/>
      <c r="H117" s="207"/>
      <c r="I117" s="207"/>
      <c r="J117" s="209"/>
      <c r="K117" s="175"/>
      <c r="L117" s="175"/>
      <c r="M117" s="175"/>
      <c r="N117" s="201"/>
      <c r="O117" s="201"/>
      <c r="P117" s="201"/>
      <c r="Q117" s="201"/>
      <c r="R117" s="201"/>
      <c r="S117" s="201"/>
      <c r="T117" s="201"/>
      <c r="U117" s="201"/>
      <c r="V117" s="201"/>
      <c r="W117" s="201"/>
      <c r="X117" s="201"/>
      <c r="Y117" s="202"/>
      <c r="Z117" s="202"/>
      <c r="AA117" s="202"/>
      <c r="AB117" s="201"/>
      <c r="AC117" s="203"/>
      <c r="AD117" s="204"/>
    </row>
    <row r="118" spans="2:30" x14ac:dyDescent="0.2">
      <c r="B118" s="332"/>
      <c r="C118" s="333"/>
      <c r="D118" s="335"/>
      <c r="E118" s="213" t="s">
        <v>42</v>
      </c>
      <c r="F118" s="206" t="s">
        <v>180</v>
      </c>
      <c r="G118" s="337"/>
      <c r="H118" s="207"/>
      <c r="I118" s="207"/>
      <c r="J118" s="209"/>
      <c r="K118" s="175"/>
      <c r="L118" s="175"/>
      <c r="M118" s="175"/>
      <c r="N118" s="201"/>
      <c r="O118" s="201"/>
      <c r="P118" s="201"/>
      <c r="Q118" s="201"/>
      <c r="R118" s="201"/>
      <c r="S118" s="201"/>
      <c r="T118" s="201"/>
      <c r="U118" s="201"/>
      <c r="V118" s="201"/>
      <c r="W118" s="201"/>
      <c r="X118" s="201"/>
      <c r="Y118" s="202"/>
      <c r="Z118" s="202"/>
      <c r="AA118" s="202"/>
      <c r="AB118" s="201"/>
      <c r="AC118" s="203"/>
      <c r="AD118" s="204"/>
    </row>
    <row r="119" spans="2:30" ht="12.75" thickBot="1" x14ac:dyDescent="0.25">
      <c r="B119" s="338"/>
      <c r="C119" s="339"/>
      <c r="D119" s="340"/>
      <c r="E119" s="220" t="s">
        <v>43</v>
      </c>
      <c r="F119" s="218" t="s">
        <v>186</v>
      </c>
      <c r="G119" s="343"/>
      <c r="H119" s="207"/>
      <c r="I119" s="207"/>
      <c r="J119" s="209"/>
      <c r="K119" s="175"/>
      <c r="L119" s="175"/>
      <c r="M119" s="175"/>
      <c r="N119" s="201"/>
      <c r="O119" s="201"/>
      <c r="P119" s="201"/>
      <c r="Q119" s="201"/>
      <c r="R119" s="201"/>
      <c r="S119" s="201"/>
      <c r="T119" s="201"/>
      <c r="U119" s="201"/>
      <c r="V119" s="201"/>
      <c r="W119" s="201"/>
      <c r="X119" s="201"/>
      <c r="Y119" s="202"/>
      <c r="Z119" s="202"/>
      <c r="AA119" s="202"/>
      <c r="AB119" s="201"/>
      <c r="AC119" s="203"/>
      <c r="AD119" s="204"/>
    </row>
    <row r="120" spans="2:30" ht="12" customHeight="1" x14ac:dyDescent="0.2">
      <c r="B120" s="331">
        <v>35</v>
      </c>
      <c r="C120" s="333">
        <v>30</v>
      </c>
      <c r="D120" s="334" t="str">
        <f>VLOOKUP(B120,'Анализ рынка'!$A$8:$AL$50,6,0)</f>
        <v>Метронидазол 5 мг/мл 100 мл</v>
      </c>
      <c r="E120" s="219" t="s">
        <v>40</v>
      </c>
      <c r="F120" s="216">
        <f>VLOOKUP(B120,'Анализ рынка'!$A:$AL,31,0)</f>
        <v>0.31</v>
      </c>
      <c r="G120" s="336">
        <f t="shared" ref="G120" si="12">IFERROR(IFERROR(IFERROR(SMALL(F120:F123,$H$3),SMALL(F120:F123,2)),SMALL(F120:F123,2)),SMALL(F120:F123,1))</f>
        <v>0.31</v>
      </c>
      <c r="H120" s="207"/>
      <c r="I120" s="207"/>
      <c r="J120" s="209"/>
      <c r="K120" s="175"/>
      <c r="L120" s="175"/>
      <c r="M120" s="175"/>
      <c r="N120" s="201"/>
      <c r="O120" s="201"/>
      <c r="P120" s="201"/>
      <c r="Q120" s="201"/>
      <c r="R120" s="201"/>
      <c r="S120" s="201"/>
      <c r="T120" s="201"/>
      <c r="U120" s="201"/>
      <c r="V120" s="201"/>
      <c r="W120" s="201"/>
      <c r="X120" s="201"/>
      <c r="Y120" s="202"/>
      <c r="Z120" s="202"/>
      <c r="AA120" s="202"/>
      <c r="AB120" s="201"/>
      <c r="AC120" s="203"/>
      <c r="AD120" s="204"/>
    </row>
    <row r="121" spans="2:30" x14ac:dyDescent="0.2">
      <c r="B121" s="332"/>
      <c r="C121" s="333"/>
      <c r="D121" s="335"/>
      <c r="E121" s="213" t="s">
        <v>41</v>
      </c>
      <c r="F121" s="206">
        <f>VLOOKUP(B120,'Тарифный метод'!$A$4:$L$46,11,0)</f>
        <v>0.26690000000000003</v>
      </c>
      <c r="G121" s="337"/>
      <c r="H121" s="207"/>
      <c r="I121" s="207"/>
      <c r="J121" s="209"/>
      <c r="K121" s="175"/>
      <c r="L121" s="175"/>
      <c r="M121" s="175"/>
      <c r="N121" s="201"/>
      <c r="O121" s="201"/>
      <c r="P121" s="201"/>
      <c r="Q121" s="201"/>
      <c r="R121" s="201"/>
      <c r="S121" s="201"/>
      <c r="T121" s="201"/>
      <c r="U121" s="201"/>
      <c r="V121" s="201"/>
      <c r="W121" s="201"/>
      <c r="X121" s="201"/>
      <c r="Y121" s="202"/>
      <c r="Z121" s="202"/>
      <c r="AA121" s="202"/>
      <c r="AB121" s="201"/>
      <c r="AC121" s="203"/>
      <c r="AD121" s="204"/>
    </row>
    <row r="122" spans="2:30" x14ac:dyDescent="0.2">
      <c r="B122" s="332"/>
      <c r="C122" s="333"/>
      <c r="D122" s="335"/>
      <c r="E122" s="213" t="s">
        <v>42</v>
      </c>
      <c r="F122" s="206" t="s">
        <v>180</v>
      </c>
      <c r="G122" s="337"/>
      <c r="H122" s="207"/>
      <c r="I122" s="207"/>
      <c r="J122" s="209"/>
      <c r="K122" s="175"/>
      <c r="L122" s="175"/>
      <c r="M122" s="175"/>
      <c r="N122" s="201"/>
      <c r="O122" s="201"/>
      <c r="P122" s="201"/>
      <c r="Q122" s="201"/>
      <c r="R122" s="201"/>
      <c r="S122" s="201"/>
      <c r="T122" s="201"/>
      <c r="U122" s="201"/>
      <c r="V122" s="201"/>
      <c r="W122" s="201"/>
      <c r="X122" s="201"/>
      <c r="Y122" s="202"/>
      <c r="Z122" s="202"/>
      <c r="AA122" s="202"/>
      <c r="AB122" s="201"/>
      <c r="AC122" s="203"/>
      <c r="AD122" s="204"/>
    </row>
    <row r="123" spans="2:30" x14ac:dyDescent="0.2">
      <c r="B123" s="332"/>
      <c r="C123" s="334"/>
      <c r="D123" s="335"/>
      <c r="E123" s="213" t="s">
        <v>43</v>
      </c>
      <c r="F123" s="206" t="s">
        <v>186</v>
      </c>
      <c r="G123" s="337"/>
      <c r="H123" s="207"/>
      <c r="I123" s="207"/>
      <c r="J123" s="209"/>
      <c r="K123" s="175"/>
      <c r="L123" s="175"/>
      <c r="M123" s="175"/>
      <c r="N123" s="201"/>
      <c r="O123" s="201"/>
      <c r="P123" s="201"/>
      <c r="Q123" s="201"/>
      <c r="R123" s="201"/>
      <c r="S123" s="201"/>
      <c r="T123" s="201"/>
      <c r="U123" s="201"/>
      <c r="V123" s="201"/>
      <c r="W123" s="201"/>
      <c r="X123" s="201"/>
      <c r="Y123" s="202"/>
      <c r="Z123" s="202"/>
      <c r="AA123" s="202"/>
      <c r="AB123" s="201"/>
      <c r="AC123" s="203"/>
      <c r="AD123" s="204"/>
    </row>
    <row r="124" spans="2:30" x14ac:dyDescent="0.2">
      <c r="B124" s="331">
        <v>36</v>
      </c>
      <c r="C124" s="333">
        <v>31</v>
      </c>
      <c r="D124" s="334" t="str">
        <f>VLOOKUP(B124,'Анализ рынка'!$A$8:$AL$50,6,0)</f>
        <v>Метилурацил 10% 25</v>
      </c>
      <c r="E124" s="219" t="s">
        <v>40</v>
      </c>
      <c r="F124" s="216">
        <f>VLOOKUP(B124,'Анализ рынка'!$A:$AL,31,0)</f>
        <v>3.05</v>
      </c>
      <c r="G124" s="336">
        <f t="shared" ref="G124" si="13">IFERROR(IFERROR(IFERROR(SMALL(F124:F127,$H$3),SMALL(F124:F127,2)),SMALL(F124:F127,2)),SMALL(F124:F127,1))</f>
        <v>3.05</v>
      </c>
      <c r="H124" s="207"/>
      <c r="I124" s="207"/>
      <c r="J124" s="209"/>
      <c r="K124" s="175"/>
      <c r="L124" s="175"/>
      <c r="M124" s="175"/>
      <c r="N124" s="201"/>
      <c r="O124" s="201"/>
      <c r="P124" s="201"/>
      <c r="Q124" s="201"/>
      <c r="R124" s="201"/>
      <c r="S124" s="201"/>
      <c r="T124" s="201"/>
      <c r="U124" s="201"/>
      <c r="V124" s="201"/>
      <c r="W124" s="201"/>
      <c r="X124" s="201"/>
      <c r="Y124" s="202"/>
      <c r="Z124" s="202"/>
      <c r="AA124" s="202"/>
      <c r="AB124" s="201"/>
      <c r="AC124" s="203"/>
      <c r="AD124" s="204"/>
    </row>
    <row r="125" spans="2:30" x14ac:dyDescent="0.2">
      <c r="B125" s="332"/>
      <c r="C125" s="333"/>
      <c r="D125" s="335"/>
      <c r="E125" s="213" t="s">
        <v>41</v>
      </c>
      <c r="F125" s="206" t="str">
        <f>VLOOKUP(B124,'Тарифный метод'!$A$4:$L$46,11,0)</f>
        <v>Не ЖНВЛП</v>
      </c>
      <c r="G125" s="337"/>
      <c r="H125" s="207"/>
      <c r="I125" s="207"/>
      <c r="J125" s="209"/>
      <c r="K125" s="175"/>
      <c r="L125" s="175"/>
      <c r="M125" s="175"/>
      <c r="N125" s="201"/>
      <c r="O125" s="201"/>
      <c r="P125" s="201"/>
      <c r="Q125" s="201"/>
      <c r="R125" s="201"/>
      <c r="S125" s="201"/>
      <c r="T125" s="201"/>
      <c r="U125" s="201"/>
      <c r="V125" s="201"/>
      <c r="W125" s="201"/>
      <c r="X125" s="201"/>
      <c r="Y125" s="202"/>
      <c r="Z125" s="202"/>
      <c r="AA125" s="202"/>
      <c r="AB125" s="201"/>
      <c r="AC125" s="203"/>
      <c r="AD125" s="204"/>
    </row>
    <row r="126" spans="2:30" x14ac:dyDescent="0.2">
      <c r="B126" s="332"/>
      <c r="C126" s="333"/>
      <c r="D126" s="335"/>
      <c r="E126" s="213" t="s">
        <v>42</v>
      </c>
      <c r="F126" s="206" t="s">
        <v>180</v>
      </c>
      <c r="G126" s="337"/>
      <c r="H126" s="207"/>
      <c r="I126" s="207"/>
      <c r="J126" s="209"/>
      <c r="K126" s="175"/>
      <c r="L126" s="175"/>
      <c r="M126" s="175"/>
      <c r="N126" s="201"/>
      <c r="O126" s="201"/>
      <c r="P126" s="201"/>
      <c r="Q126" s="201"/>
      <c r="R126" s="201"/>
      <c r="S126" s="201"/>
      <c r="T126" s="201"/>
      <c r="U126" s="201"/>
      <c r="V126" s="201"/>
      <c r="W126" s="201"/>
      <c r="X126" s="201"/>
      <c r="Y126" s="202"/>
      <c r="Z126" s="202"/>
      <c r="AA126" s="202"/>
      <c r="AB126" s="201"/>
      <c r="AC126" s="203"/>
      <c r="AD126" s="204"/>
    </row>
    <row r="127" spans="2:30" x14ac:dyDescent="0.2">
      <c r="B127" s="332"/>
      <c r="C127" s="334"/>
      <c r="D127" s="335"/>
      <c r="E127" s="213" t="s">
        <v>43</v>
      </c>
      <c r="F127" s="206" t="s">
        <v>186</v>
      </c>
      <c r="G127" s="337"/>
      <c r="H127" s="207"/>
      <c r="I127" s="207"/>
      <c r="J127" s="209"/>
      <c r="K127" s="175"/>
      <c r="L127" s="175"/>
      <c r="M127" s="175"/>
      <c r="N127" s="201"/>
      <c r="O127" s="201"/>
      <c r="P127" s="201"/>
      <c r="Q127" s="201"/>
      <c r="R127" s="201"/>
      <c r="S127" s="201"/>
      <c r="T127" s="201"/>
      <c r="U127" s="201"/>
      <c r="V127" s="201"/>
      <c r="W127" s="201"/>
      <c r="X127" s="201"/>
      <c r="Y127" s="202"/>
      <c r="Z127" s="202"/>
      <c r="AA127" s="202"/>
      <c r="AB127" s="201"/>
      <c r="AC127" s="203"/>
      <c r="AD127" s="204"/>
    </row>
    <row r="128" spans="2:30" x14ac:dyDescent="0.2">
      <c r="B128" s="331">
        <v>37</v>
      </c>
      <c r="C128" s="333">
        <v>32</v>
      </c>
      <c r="D128" s="334" t="str">
        <f>VLOOKUP(B128,'Анализ рынка'!$A$8:$AL$50,6,0)</f>
        <v>Хлорофиллипт 2% 20 мл</v>
      </c>
      <c r="E128" s="219" t="s">
        <v>40</v>
      </c>
      <c r="F128" s="216">
        <f>VLOOKUP(B128,'Анализ рынка'!$A:$AL,31,0)</f>
        <v>19.77</v>
      </c>
      <c r="G128" s="336">
        <f t="shared" ref="G128" si="14">IFERROR(IFERROR(IFERROR(SMALL(F128:F131,$H$3),SMALL(F128:F131,2)),SMALL(F128:F131,2)),SMALL(F128:F131,1))</f>
        <v>19.77</v>
      </c>
    </row>
    <row r="129" spans="2:7" x14ac:dyDescent="0.2">
      <c r="B129" s="332"/>
      <c r="C129" s="333"/>
      <c r="D129" s="335"/>
      <c r="E129" s="213" t="s">
        <v>41</v>
      </c>
      <c r="F129" s="206" t="str">
        <f>VLOOKUP(B128,'Тарифный метод'!$A$4:$L$46,11,0)</f>
        <v>Не ЖНВЛП</v>
      </c>
      <c r="G129" s="337"/>
    </row>
    <row r="130" spans="2:7" x14ac:dyDescent="0.2">
      <c r="B130" s="332"/>
      <c r="C130" s="333"/>
      <c r="D130" s="335"/>
      <c r="E130" s="213" t="s">
        <v>42</v>
      </c>
      <c r="F130" s="206" t="s">
        <v>180</v>
      </c>
      <c r="G130" s="337"/>
    </row>
    <row r="131" spans="2:7" x14ac:dyDescent="0.2">
      <c r="B131" s="332"/>
      <c r="C131" s="334"/>
      <c r="D131" s="335"/>
      <c r="E131" s="213" t="s">
        <v>43</v>
      </c>
      <c r="F131" s="206" t="s">
        <v>186</v>
      </c>
      <c r="G131" s="337"/>
    </row>
    <row r="132" spans="2:7" x14ac:dyDescent="0.2">
      <c r="B132" s="331">
        <v>38</v>
      </c>
      <c r="C132" s="333">
        <v>33</v>
      </c>
      <c r="D132" s="334" t="str">
        <f>VLOOKUP(B132,'Анализ рынка'!$A$8:$AL$50,6,0)</f>
        <v>Облепиховое масло 50 мл</v>
      </c>
      <c r="E132" s="219" t="s">
        <v>40</v>
      </c>
      <c r="F132" s="216">
        <f>VLOOKUP(B132,'Анализ рынка'!$A:$AL,31,0)</f>
        <v>5.92</v>
      </c>
      <c r="G132" s="336">
        <f t="shared" ref="G132" si="15">IFERROR(IFERROR(IFERROR(SMALL(F132:F135,$H$3),SMALL(F132:F135,2)),SMALL(F132:F135,2)),SMALL(F132:F135,1))</f>
        <v>5.92</v>
      </c>
    </row>
    <row r="133" spans="2:7" x14ac:dyDescent="0.2">
      <c r="B133" s="332"/>
      <c r="C133" s="333"/>
      <c r="D133" s="335"/>
      <c r="E133" s="213" t="s">
        <v>41</v>
      </c>
      <c r="F133" s="206" t="str">
        <f>VLOOKUP(B132,'Тарифный метод'!$A$4:$L$46,11,0)</f>
        <v>Не ЖНВЛП</v>
      </c>
      <c r="G133" s="337"/>
    </row>
    <row r="134" spans="2:7" x14ac:dyDescent="0.2">
      <c r="B134" s="332"/>
      <c r="C134" s="333"/>
      <c r="D134" s="335"/>
      <c r="E134" s="213" t="s">
        <v>42</v>
      </c>
      <c r="F134" s="206" t="s">
        <v>180</v>
      </c>
      <c r="G134" s="337"/>
    </row>
    <row r="135" spans="2:7" x14ac:dyDescent="0.2">
      <c r="B135" s="332"/>
      <c r="C135" s="334"/>
      <c r="D135" s="335"/>
      <c r="E135" s="213" t="s">
        <v>43</v>
      </c>
      <c r="F135" s="206" t="s">
        <v>186</v>
      </c>
      <c r="G135" s="337"/>
    </row>
    <row r="136" spans="2:7" x14ac:dyDescent="0.2">
      <c r="B136" s="331">
        <v>39</v>
      </c>
      <c r="C136" s="333">
        <v>34</v>
      </c>
      <c r="D136" s="334" t="str">
        <f>VLOOKUP(B136,'Анализ рынка'!$A$8:$AL$50,6,0)</f>
        <v>Шиповника масло 50 мл</v>
      </c>
      <c r="E136" s="219" t="s">
        <v>40</v>
      </c>
      <c r="F136" s="216">
        <f>VLOOKUP(B136,'Анализ рынка'!$A:$AL,31,0)</f>
        <v>9.09</v>
      </c>
      <c r="G136" s="336">
        <f t="shared" ref="G136" si="16">IFERROR(IFERROR(IFERROR(SMALL(F136:F139,$H$3),SMALL(F136:F139,2)),SMALL(F136:F139,2)),SMALL(F136:F139,1))</f>
        <v>9.09</v>
      </c>
    </row>
    <row r="137" spans="2:7" x14ac:dyDescent="0.2">
      <c r="B137" s="332"/>
      <c r="C137" s="333"/>
      <c r="D137" s="335"/>
      <c r="E137" s="213" t="s">
        <v>41</v>
      </c>
      <c r="F137" s="206" t="str">
        <f>VLOOKUP(B136,'Тарифный метод'!$A$4:$L$46,11,0)</f>
        <v>Не ЖНВЛП</v>
      </c>
      <c r="G137" s="337"/>
    </row>
    <row r="138" spans="2:7" x14ac:dyDescent="0.2">
      <c r="B138" s="332"/>
      <c r="C138" s="333"/>
      <c r="D138" s="335"/>
      <c r="E138" s="213" t="s">
        <v>42</v>
      </c>
      <c r="F138" s="206" t="s">
        <v>180</v>
      </c>
      <c r="G138" s="337"/>
    </row>
    <row r="139" spans="2:7" x14ac:dyDescent="0.2">
      <c r="B139" s="332"/>
      <c r="C139" s="334"/>
      <c r="D139" s="335"/>
      <c r="E139" s="213" t="s">
        <v>43</v>
      </c>
      <c r="F139" s="206" t="s">
        <v>186</v>
      </c>
      <c r="G139" s="337"/>
    </row>
    <row r="140" spans="2:7" x14ac:dyDescent="0.2">
      <c r="B140" s="331">
        <v>40</v>
      </c>
      <c r="C140" s="333">
        <v>35</v>
      </c>
      <c r="D140" s="334" t="str">
        <f>VLOOKUP(B140,'Анализ рынка'!$A$8:$AL$50,6,0)</f>
        <v>Гепариновая мазь 25 г</v>
      </c>
      <c r="E140" s="219" t="s">
        <v>40</v>
      </c>
      <c r="F140" s="216">
        <f>VLOOKUP(B140,'Анализ рынка'!$A:$AL,31,0)</f>
        <v>4.1399999999999997</v>
      </c>
      <c r="G140" s="336">
        <f t="shared" ref="G140" si="17">IFERROR(IFERROR(IFERROR(SMALL(F140:F143,$H$3),SMALL(F140:F143,2)),SMALL(F140:F143,2)),SMALL(F140:F143,1))</f>
        <v>4.1399999999999997</v>
      </c>
    </row>
    <row r="141" spans="2:7" x14ac:dyDescent="0.2">
      <c r="B141" s="332"/>
      <c r="C141" s="333"/>
      <c r="D141" s="335"/>
      <c r="E141" s="213" t="s">
        <v>41</v>
      </c>
      <c r="F141" s="206" t="str">
        <f>VLOOKUP(B140,'Тарифный метод'!$A$4:$L$46,11,0)</f>
        <v>Не ЖНВЛП</v>
      </c>
      <c r="G141" s="337"/>
    </row>
    <row r="142" spans="2:7" x14ac:dyDescent="0.2">
      <c r="B142" s="332"/>
      <c r="C142" s="333"/>
      <c r="D142" s="335"/>
      <c r="E142" s="213" t="s">
        <v>42</v>
      </c>
      <c r="F142" s="206" t="s">
        <v>180</v>
      </c>
      <c r="G142" s="337"/>
    </row>
    <row r="143" spans="2:7" x14ac:dyDescent="0.2">
      <c r="B143" s="332"/>
      <c r="C143" s="334"/>
      <c r="D143" s="335"/>
      <c r="E143" s="213" t="s">
        <v>43</v>
      </c>
      <c r="F143" s="206" t="s">
        <v>186</v>
      </c>
      <c r="G143" s="337"/>
    </row>
    <row r="144" spans="2:7" x14ac:dyDescent="0.2">
      <c r="B144" s="331">
        <v>41</v>
      </c>
      <c r="C144" s="333">
        <v>36</v>
      </c>
      <c r="D144" s="334" t="str">
        <f>VLOOKUP(B144,'Анализ рынка'!$A$8:$AL$50,6,0)</f>
        <v>Витамин А 3.44% 10 мл</v>
      </c>
      <c r="E144" s="219" t="s">
        <v>40</v>
      </c>
      <c r="F144" s="216">
        <f>VLOOKUP(B144,'Анализ рынка'!$A:$AL,31,0)</f>
        <v>9.67</v>
      </c>
      <c r="G144" s="336">
        <f t="shared" ref="G144" si="18">IFERROR(IFERROR(IFERROR(SMALL(F144:F147,$H$3),SMALL(F144:F147,2)),SMALL(F144:F147,2)),SMALL(F144:F147,1))</f>
        <v>9.67</v>
      </c>
    </row>
    <row r="145" spans="2:7" x14ac:dyDescent="0.2">
      <c r="B145" s="332"/>
      <c r="C145" s="333"/>
      <c r="D145" s="335"/>
      <c r="E145" s="213" t="s">
        <v>41</v>
      </c>
      <c r="F145" s="206">
        <f>VLOOKUP(B144,'Тарифный метод'!$A$4:$L$46,11,0)</f>
        <v>2.2480000000000002</v>
      </c>
      <c r="G145" s="337"/>
    </row>
    <row r="146" spans="2:7" x14ac:dyDescent="0.2">
      <c r="B146" s="332"/>
      <c r="C146" s="333"/>
      <c r="D146" s="335"/>
      <c r="E146" s="213" t="s">
        <v>42</v>
      </c>
      <c r="F146" s="206" t="s">
        <v>180</v>
      </c>
      <c r="G146" s="337"/>
    </row>
    <row r="147" spans="2:7" x14ac:dyDescent="0.2">
      <c r="B147" s="332"/>
      <c r="C147" s="334"/>
      <c r="D147" s="335"/>
      <c r="E147" s="213" t="s">
        <v>43</v>
      </c>
      <c r="F147" s="206" t="s">
        <v>186</v>
      </c>
      <c r="G147" s="337"/>
    </row>
    <row r="148" spans="2:7" x14ac:dyDescent="0.2">
      <c r="B148" s="331">
        <v>42</v>
      </c>
      <c r="C148" s="333">
        <v>37</v>
      </c>
      <c r="D148" s="334" t="str">
        <f>VLOOKUP(B148,'Анализ рынка'!$A$8:$AL$50,6,0)</f>
        <v>Витамин А 100000 МЕ/мл 10 мл</v>
      </c>
      <c r="E148" s="219" t="s">
        <v>40</v>
      </c>
      <c r="F148" s="216">
        <f>VLOOKUP(B148,'Анализ рынка'!$A:$AL,31,0)</f>
        <v>11.87</v>
      </c>
      <c r="G148" s="336">
        <f t="shared" ref="G148" si="19">IFERROR(IFERROR(IFERROR(SMALL(F148:F151,$H$3),SMALL(F148:F151,2)),SMALL(F148:F151,2)),SMALL(F148:F151,1))</f>
        <v>11.87</v>
      </c>
    </row>
    <row r="149" spans="2:7" x14ac:dyDescent="0.2">
      <c r="B149" s="332"/>
      <c r="C149" s="333"/>
      <c r="D149" s="335"/>
      <c r="E149" s="213" t="s">
        <v>41</v>
      </c>
      <c r="F149" s="206">
        <f>VLOOKUP(B148,'Тарифный метод'!$A$4:$L$46,11,0)</f>
        <v>10.618</v>
      </c>
      <c r="G149" s="337"/>
    </row>
    <row r="150" spans="2:7" x14ac:dyDescent="0.2">
      <c r="B150" s="332"/>
      <c r="C150" s="333"/>
      <c r="D150" s="335"/>
      <c r="E150" s="213" t="s">
        <v>42</v>
      </c>
      <c r="F150" s="206" t="s">
        <v>180</v>
      </c>
      <c r="G150" s="337"/>
    </row>
    <row r="151" spans="2:7" x14ac:dyDescent="0.2">
      <c r="B151" s="332"/>
      <c r="C151" s="334"/>
      <c r="D151" s="335"/>
      <c r="E151" s="213" t="s">
        <v>43</v>
      </c>
      <c r="F151" s="206" t="s">
        <v>186</v>
      </c>
      <c r="G151" s="337"/>
    </row>
    <row r="152" spans="2:7" x14ac:dyDescent="0.2">
      <c r="B152" s="331">
        <v>43</v>
      </c>
      <c r="C152" s="333">
        <v>38</v>
      </c>
      <c r="D152" s="334" t="str">
        <f>VLOOKUP(B152,'Анализ рынка'!$A$8:$AL$50,6,0)</f>
        <v>Супрастин 25 мг № 20</v>
      </c>
      <c r="E152" s="219" t="s">
        <v>40</v>
      </c>
      <c r="F152" s="216">
        <f>VLOOKUP(B152,'Анализ рынка'!$A:$AL,31,0)</f>
        <v>6.4</v>
      </c>
      <c r="G152" s="336">
        <f t="shared" ref="G152" si="20">IFERROR(IFERROR(IFERROR(SMALL(F152:F155,$H$3),SMALL(F152:F155,2)),SMALL(F152:F155,2)),SMALL(F152:F155,1))</f>
        <v>6.4</v>
      </c>
    </row>
    <row r="153" spans="2:7" x14ac:dyDescent="0.2">
      <c r="B153" s="332"/>
      <c r="C153" s="333"/>
      <c r="D153" s="335"/>
      <c r="E153" s="213" t="s">
        <v>41</v>
      </c>
      <c r="F153" s="206">
        <f>VLOOKUP(B152,'Тарифный метод'!$A$4:$L$46,11,0)</f>
        <v>5.7195</v>
      </c>
      <c r="G153" s="337"/>
    </row>
    <row r="154" spans="2:7" x14ac:dyDescent="0.2">
      <c r="B154" s="332"/>
      <c r="C154" s="333"/>
      <c r="D154" s="335"/>
      <c r="E154" s="213" t="s">
        <v>42</v>
      </c>
      <c r="F154" s="206" t="s">
        <v>180</v>
      </c>
      <c r="G154" s="337"/>
    </row>
    <row r="155" spans="2:7" x14ac:dyDescent="0.2">
      <c r="B155" s="332"/>
      <c r="C155" s="334"/>
      <c r="D155" s="335"/>
      <c r="E155" s="213" t="s">
        <v>43</v>
      </c>
      <c r="F155" s="206" t="s">
        <v>186</v>
      </c>
      <c r="G155" s="337"/>
    </row>
  </sheetData>
  <sheetProtection algorithmName="SHA-512" hashValue="6xvxBZiL9nuY56JaID8QI/X7t44YDuHcthAbtaDvmOBIgmf9Mi/wFeTri8d70YCRcDVcioCIWPYi0z3imt7mag==" saltValue="N+w0SX8S7j8JZHp4RHmBcw==" spinCount="100000" sheet="1" formatCells="0" formatColumns="0" formatRows="0" insertColumns="0" insertRows="0" insertHyperlinks="0" deleteColumns="0" deleteRows="0" selectLockedCells="1" sort="0" autoFilter="0" pivotTables="0"/>
  <autoFilter ref="B3:G151" xr:uid="{00000000-0001-0000-0000-000000000000}"/>
  <mergeCells count="153">
    <mergeCell ref="B120:B123"/>
    <mergeCell ref="C120:C123"/>
    <mergeCell ref="D120:D123"/>
    <mergeCell ref="B124:B127"/>
    <mergeCell ref="C124:C127"/>
    <mergeCell ref="D124:D127"/>
    <mergeCell ref="G84:G87"/>
    <mergeCell ref="G88:G91"/>
    <mergeCell ref="G92:G95"/>
    <mergeCell ref="G96:G99"/>
    <mergeCell ref="G100:G103"/>
    <mergeCell ref="G104:G107"/>
    <mergeCell ref="G108:G111"/>
    <mergeCell ref="G112:G115"/>
    <mergeCell ref="G116:G119"/>
    <mergeCell ref="G120:G123"/>
    <mergeCell ref="G124:G127"/>
    <mergeCell ref="B84:B87"/>
    <mergeCell ref="C84:C87"/>
    <mergeCell ref="D84:D87"/>
    <mergeCell ref="B88:B91"/>
    <mergeCell ref="C88:C91"/>
    <mergeCell ref="D88:D91"/>
    <mergeCell ref="B100:B103"/>
    <mergeCell ref="B12:B15"/>
    <mergeCell ref="C12:C15"/>
    <mergeCell ref="D12:D15"/>
    <mergeCell ref="G12:G15"/>
    <mergeCell ref="B16:B19"/>
    <mergeCell ref="C16:C19"/>
    <mergeCell ref="D16:D19"/>
    <mergeCell ref="G16:G19"/>
    <mergeCell ref="D1:G1"/>
    <mergeCell ref="B4:B7"/>
    <mergeCell ref="C4:C7"/>
    <mergeCell ref="D4:D7"/>
    <mergeCell ref="G4:G7"/>
    <mergeCell ref="B8:B11"/>
    <mergeCell ref="C8:C11"/>
    <mergeCell ref="D8:D11"/>
    <mergeCell ref="G8:G11"/>
    <mergeCell ref="B28:B31"/>
    <mergeCell ref="C28:C31"/>
    <mergeCell ref="D28:D31"/>
    <mergeCell ref="G28:G31"/>
    <mergeCell ref="B32:B35"/>
    <mergeCell ref="C32:C35"/>
    <mergeCell ref="D32:D35"/>
    <mergeCell ref="G32:G35"/>
    <mergeCell ref="B20:B23"/>
    <mergeCell ref="C20:C23"/>
    <mergeCell ref="D20:D23"/>
    <mergeCell ref="G20:G23"/>
    <mergeCell ref="B24:B27"/>
    <mergeCell ref="C24:C27"/>
    <mergeCell ref="D24:D27"/>
    <mergeCell ref="G24:G27"/>
    <mergeCell ref="B44:B47"/>
    <mergeCell ref="C44:C47"/>
    <mergeCell ref="D44:D47"/>
    <mergeCell ref="G44:G47"/>
    <mergeCell ref="B48:B51"/>
    <mergeCell ref="C48:C51"/>
    <mergeCell ref="D48:D51"/>
    <mergeCell ref="G48:G51"/>
    <mergeCell ref="B36:B39"/>
    <mergeCell ref="C36:C39"/>
    <mergeCell ref="D36:D39"/>
    <mergeCell ref="G36:G39"/>
    <mergeCell ref="B40:B43"/>
    <mergeCell ref="C40:C43"/>
    <mergeCell ref="D40:D43"/>
    <mergeCell ref="G40:G43"/>
    <mergeCell ref="B60:B63"/>
    <mergeCell ref="C60:C63"/>
    <mergeCell ref="D60:D63"/>
    <mergeCell ref="G60:G63"/>
    <mergeCell ref="B64:B67"/>
    <mergeCell ref="C64:C67"/>
    <mergeCell ref="D64:D67"/>
    <mergeCell ref="G64:G67"/>
    <mergeCell ref="B52:B55"/>
    <mergeCell ref="C52:C55"/>
    <mergeCell ref="D52:D55"/>
    <mergeCell ref="G52:G55"/>
    <mergeCell ref="B56:B59"/>
    <mergeCell ref="C56:C59"/>
    <mergeCell ref="D56:D59"/>
    <mergeCell ref="G56:G59"/>
    <mergeCell ref="G76:G79"/>
    <mergeCell ref="B80:B83"/>
    <mergeCell ref="C80:C83"/>
    <mergeCell ref="D80:D83"/>
    <mergeCell ref="G80:G83"/>
    <mergeCell ref="B68:B71"/>
    <mergeCell ref="C68:C71"/>
    <mergeCell ref="D68:D71"/>
    <mergeCell ref="G68:G71"/>
    <mergeCell ref="B72:B75"/>
    <mergeCell ref="C72:C75"/>
    <mergeCell ref="D72:D75"/>
    <mergeCell ref="G72:G75"/>
    <mergeCell ref="B76:B79"/>
    <mergeCell ref="C76:C79"/>
    <mergeCell ref="D76:D79"/>
    <mergeCell ref="C100:C103"/>
    <mergeCell ref="D100:D103"/>
    <mergeCell ref="B104:B107"/>
    <mergeCell ref="C104:C107"/>
    <mergeCell ref="D104:D107"/>
    <mergeCell ref="B92:B95"/>
    <mergeCell ref="C92:C95"/>
    <mergeCell ref="D92:D95"/>
    <mergeCell ref="B96:B99"/>
    <mergeCell ref="C96:C99"/>
    <mergeCell ref="D96:D99"/>
    <mergeCell ref="B116:B119"/>
    <mergeCell ref="C116:C119"/>
    <mergeCell ref="D116:D119"/>
    <mergeCell ref="B108:B111"/>
    <mergeCell ref="C108:C111"/>
    <mergeCell ref="D108:D111"/>
    <mergeCell ref="B112:B115"/>
    <mergeCell ref="C112:C115"/>
    <mergeCell ref="D112:D115"/>
    <mergeCell ref="B128:B131"/>
    <mergeCell ref="C128:C131"/>
    <mergeCell ref="D128:D131"/>
    <mergeCell ref="G128:G131"/>
    <mergeCell ref="B132:B135"/>
    <mergeCell ref="C132:C135"/>
    <mergeCell ref="D132:D135"/>
    <mergeCell ref="G132:G135"/>
    <mergeCell ref="B136:B139"/>
    <mergeCell ref="C136:C139"/>
    <mergeCell ref="D136:D139"/>
    <mergeCell ref="G136:G139"/>
    <mergeCell ref="B152:B155"/>
    <mergeCell ref="C152:C155"/>
    <mergeCell ref="D152:D155"/>
    <mergeCell ref="G152:G155"/>
    <mergeCell ref="B140:B143"/>
    <mergeCell ref="C140:C143"/>
    <mergeCell ref="D140:D143"/>
    <mergeCell ref="G140:G143"/>
    <mergeCell ref="B144:B147"/>
    <mergeCell ref="C144:C147"/>
    <mergeCell ref="D144:D147"/>
    <mergeCell ref="G144:G147"/>
    <mergeCell ref="B148:B151"/>
    <mergeCell ref="C148:C151"/>
    <mergeCell ref="D148:D151"/>
    <mergeCell ref="G148:G151"/>
  </mergeCells>
  <pageMargins left="0.11811023622047245" right="0.19685039370078741" top="0.35433070866141736" bottom="0.35433070866141736" header="0.31496062992125984" footer="0.31496062992125984"/>
  <pageSetup paperSize="9" scale="90"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F5BC-E3EF-4FC5-9446-EA67F1297FCC}">
  <dimension ref="A1:D68"/>
  <sheetViews>
    <sheetView workbookViewId="0">
      <selection activeCell="E51" sqref="E51"/>
    </sheetView>
  </sheetViews>
  <sheetFormatPr defaultRowHeight="15" x14ac:dyDescent="0.25"/>
  <cols>
    <col min="1" max="1" width="31.7109375" customWidth="1"/>
  </cols>
  <sheetData>
    <row r="1" spans="1:4" x14ac:dyDescent="0.25">
      <c r="A1">
        <v>2</v>
      </c>
      <c r="B1">
        <v>3</v>
      </c>
      <c r="C1">
        <v>4</v>
      </c>
      <c r="D1">
        <v>5</v>
      </c>
    </row>
    <row r="3" spans="1:4" x14ac:dyDescent="0.25">
      <c r="A3" t="s">
        <v>87</v>
      </c>
      <c r="B3" t="s">
        <v>113</v>
      </c>
      <c r="C3" t="s">
        <v>59</v>
      </c>
      <c r="D3" t="s">
        <v>114</v>
      </c>
    </row>
    <row r="4" spans="1:4" x14ac:dyDescent="0.25">
      <c r="A4" t="s">
        <v>58</v>
      </c>
      <c r="B4" t="s">
        <v>89</v>
      </c>
      <c r="C4" t="s">
        <v>115</v>
      </c>
      <c r="D4" t="s">
        <v>115</v>
      </c>
    </row>
    <row r="5" spans="1:4" x14ac:dyDescent="0.25">
      <c r="A5" t="s">
        <v>60</v>
      </c>
      <c r="B5" t="s">
        <v>90</v>
      </c>
      <c r="C5" t="s">
        <v>88</v>
      </c>
      <c r="D5" t="s">
        <v>115</v>
      </c>
    </row>
    <row r="6" spans="1:4" x14ac:dyDescent="0.25">
      <c r="A6" t="s">
        <v>61</v>
      </c>
      <c r="B6" t="s">
        <v>91</v>
      </c>
      <c r="C6" t="s">
        <v>88</v>
      </c>
      <c r="D6" t="s">
        <v>115</v>
      </c>
    </row>
    <row r="7" spans="1:4" x14ac:dyDescent="0.25">
      <c r="A7" t="s">
        <v>62</v>
      </c>
      <c r="B7" t="s">
        <v>92</v>
      </c>
      <c r="C7" t="s">
        <v>115</v>
      </c>
      <c r="D7" t="s">
        <v>115</v>
      </c>
    </row>
    <row r="8" spans="1:4" x14ac:dyDescent="0.25">
      <c r="A8" t="s">
        <v>63</v>
      </c>
      <c r="B8" t="s">
        <v>93</v>
      </c>
      <c r="C8" t="s">
        <v>115</v>
      </c>
      <c r="D8" t="s">
        <v>115</v>
      </c>
    </row>
    <row r="9" spans="1:4" x14ac:dyDescent="0.25">
      <c r="A9" t="s">
        <v>64</v>
      </c>
      <c r="B9" t="s">
        <v>94</v>
      </c>
      <c r="C9" t="s">
        <v>88</v>
      </c>
      <c r="D9" t="s">
        <v>115</v>
      </c>
    </row>
    <row r="10" spans="1:4" x14ac:dyDescent="0.25">
      <c r="A10" t="s">
        <v>65</v>
      </c>
      <c r="B10" t="s">
        <v>95</v>
      </c>
      <c r="C10" t="s">
        <v>88</v>
      </c>
      <c r="D10" t="s">
        <v>115</v>
      </c>
    </row>
    <row r="11" spans="1:4" x14ac:dyDescent="0.25">
      <c r="A11" t="s">
        <v>66</v>
      </c>
      <c r="B11" t="s">
        <v>89</v>
      </c>
      <c r="C11" t="s">
        <v>115</v>
      </c>
      <c r="D11" t="s">
        <v>115</v>
      </c>
    </row>
    <row r="12" spans="1:4" x14ac:dyDescent="0.25">
      <c r="A12" t="s">
        <v>67</v>
      </c>
      <c r="B12" t="s">
        <v>96</v>
      </c>
      <c r="C12" t="s">
        <v>88</v>
      </c>
      <c r="D12" t="s">
        <v>115</v>
      </c>
    </row>
    <row r="13" spans="1:4" x14ac:dyDescent="0.25">
      <c r="A13" t="s">
        <v>68</v>
      </c>
      <c r="B13" t="s">
        <v>97</v>
      </c>
      <c r="C13" t="s">
        <v>115</v>
      </c>
      <c r="D13" t="s">
        <v>115</v>
      </c>
    </row>
    <row r="14" spans="1:4" x14ac:dyDescent="0.25">
      <c r="A14" t="s">
        <v>69</v>
      </c>
      <c r="B14" t="s">
        <v>98</v>
      </c>
      <c r="C14" t="s">
        <v>115</v>
      </c>
      <c r="D14" t="s">
        <v>115</v>
      </c>
    </row>
    <row r="15" spans="1:4" x14ac:dyDescent="0.25">
      <c r="A15" t="s">
        <v>70</v>
      </c>
      <c r="B15" t="s">
        <v>99</v>
      </c>
      <c r="C15" t="s">
        <v>115</v>
      </c>
      <c r="D15" t="s">
        <v>88</v>
      </c>
    </row>
    <row r="16" spans="1:4" x14ac:dyDescent="0.25">
      <c r="A16" t="s">
        <v>71</v>
      </c>
      <c r="B16" t="s">
        <v>100</v>
      </c>
      <c r="C16" t="s">
        <v>115</v>
      </c>
      <c r="D16" t="s">
        <v>115</v>
      </c>
    </row>
    <row r="17" spans="1:4" x14ac:dyDescent="0.25">
      <c r="A17" t="s">
        <v>72</v>
      </c>
      <c r="B17" t="s">
        <v>101</v>
      </c>
      <c r="C17" t="s">
        <v>115</v>
      </c>
      <c r="D17" t="s">
        <v>115</v>
      </c>
    </row>
    <row r="18" spans="1:4" x14ac:dyDescent="0.25">
      <c r="A18" t="s">
        <v>73</v>
      </c>
      <c r="B18" t="s">
        <v>102</v>
      </c>
      <c r="C18" t="s">
        <v>115</v>
      </c>
      <c r="D18" t="s">
        <v>88</v>
      </c>
    </row>
    <row r="19" spans="1:4" x14ac:dyDescent="0.25">
      <c r="A19" t="s">
        <v>74</v>
      </c>
      <c r="B19" t="s">
        <v>103</v>
      </c>
      <c r="C19" t="s">
        <v>115</v>
      </c>
      <c r="D19" t="s">
        <v>115</v>
      </c>
    </row>
    <row r="20" spans="1:4" x14ac:dyDescent="0.25">
      <c r="A20" t="s">
        <v>75</v>
      </c>
      <c r="B20" t="s">
        <v>104</v>
      </c>
      <c r="C20" t="s">
        <v>88</v>
      </c>
      <c r="D20" t="s">
        <v>115</v>
      </c>
    </row>
    <row r="21" spans="1:4" x14ac:dyDescent="0.25">
      <c r="A21" t="s">
        <v>76</v>
      </c>
      <c r="B21" t="s">
        <v>105</v>
      </c>
      <c r="C21" t="s">
        <v>88</v>
      </c>
      <c r="D21" t="s">
        <v>115</v>
      </c>
    </row>
    <row r="22" spans="1:4" x14ac:dyDescent="0.25">
      <c r="A22" t="s">
        <v>77</v>
      </c>
      <c r="B22" t="s">
        <v>106</v>
      </c>
      <c r="C22" t="s">
        <v>88</v>
      </c>
      <c r="D22" t="s">
        <v>115</v>
      </c>
    </row>
    <row r="23" spans="1:4" x14ac:dyDescent="0.25">
      <c r="A23" t="s">
        <v>78</v>
      </c>
      <c r="B23" t="s">
        <v>107</v>
      </c>
      <c r="C23" t="s">
        <v>115</v>
      </c>
      <c r="D23" t="s">
        <v>115</v>
      </c>
    </row>
    <row r="24" spans="1:4" x14ac:dyDescent="0.25">
      <c r="A24" t="s">
        <v>79</v>
      </c>
      <c r="B24" t="s">
        <v>108</v>
      </c>
      <c r="C24" t="s">
        <v>115</v>
      </c>
      <c r="D24" t="s">
        <v>115</v>
      </c>
    </row>
    <row r="25" spans="1:4" x14ac:dyDescent="0.25">
      <c r="A25" t="s">
        <v>80</v>
      </c>
      <c r="B25" t="s">
        <v>109</v>
      </c>
      <c r="C25" t="s">
        <v>88</v>
      </c>
      <c r="D25" t="s">
        <v>115</v>
      </c>
    </row>
    <row r="26" spans="1:4" x14ac:dyDescent="0.25">
      <c r="A26" t="s">
        <v>81</v>
      </c>
      <c r="B26" t="s">
        <v>110</v>
      </c>
      <c r="C26" t="s">
        <v>88</v>
      </c>
      <c r="D26" t="s">
        <v>115</v>
      </c>
    </row>
    <row r="27" spans="1:4" x14ac:dyDescent="0.25">
      <c r="A27" t="s">
        <v>82</v>
      </c>
      <c r="B27" t="s">
        <v>111</v>
      </c>
      <c r="C27" t="s">
        <v>88</v>
      </c>
      <c r="D27" t="s">
        <v>115</v>
      </c>
    </row>
    <row r="28" spans="1:4" x14ac:dyDescent="0.25">
      <c r="A28" t="s">
        <v>83</v>
      </c>
      <c r="B28" t="s">
        <v>112</v>
      </c>
      <c r="C28" t="s">
        <v>115</v>
      </c>
      <c r="D28" t="s">
        <v>115</v>
      </c>
    </row>
    <row r="29" spans="1:4" x14ac:dyDescent="0.25">
      <c r="A29" t="s">
        <v>154</v>
      </c>
      <c r="B29" t="s">
        <v>187</v>
      </c>
      <c r="C29" t="s">
        <v>88</v>
      </c>
      <c r="D29" t="s">
        <v>115</v>
      </c>
    </row>
    <row r="30" spans="1:4" x14ac:dyDescent="0.25">
      <c r="A30" t="s">
        <v>157</v>
      </c>
      <c r="B30" t="s">
        <v>188</v>
      </c>
      <c r="C30" t="s">
        <v>88</v>
      </c>
      <c r="D30" t="s">
        <v>115</v>
      </c>
    </row>
    <row r="31" spans="1:4" x14ac:dyDescent="0.25">
      <c r="A31" t="s">
        <v>159</v>
      </c>
      <c r="B31" t="s">
        <v>189</v>
      </c>
      <c r="C31" t="s">
        <v>115</v>
      </c>
      <c r="D31" t="s">
        <v>115</v>
      </c>
    </row>
    <row r="32" spans="1:4" x14ac:dyDescent="0.25">
      <c r="A32" t="s">
        <v>160</v>
      </c>
      <c r="C32" t="s">
        <v>88</v>
      </c>
      <c r="D32" t="s">
        <v>115</v>
      </c>
    </row>
    <row r="33" spans="1:4" x14ac:dyDescent="0.25">
      <c r="A33" t="s">
        <v>161</v>
      </c>
      <c r="C33" t="s">
        <v>88</v>
      </c>
      <c r="D33" t="s">
        <v>115</v>
      </c>
    </row>
    <row r="34" spans="1:4" x14ac:dyDescent="0.25">
      <c r="A34" t="s">
        <v>168</v>
      </c>
      <c r="B34" t="s">
        <v>190</v>
      </c>
      <c r="C34" t="s">
        <v>88</v>
      </c>
      <c r="D34" t="s">
        <v>115</v>
      </c>
    </row>
    <row r="38" spans="1:4" x14ac:dyDescent="0.25">
      <c r="A38" t="s">
        <v>194</v>
      </c>
      <c r="B38">
        <v>1</v>
      </c>
    </row>
    <row r="39" spans="1:4" x14ac:dyDescent="0.25">
      <c r="A39" t="s">
        <v>196</v>
      </c>
      <c r="B39">
        <v>2</v>
      </c>
    </row>
    <row r="40" spans="1:4" x14ac:dyDescent="0.25">
      <c r="A40" t="s">
        <v>197</v>
      </c>
      <c r="B40">
        <v>3</v>
      </c>
    </row>
    <row r="41" spans="1:4" x14ac:dyDescent="0.25">
      <c r="A41" t="s">
        <v>200</v>
      </c>
      <c r="B41">
        <v>4</v>
      </c>
    </row>
    <row r="42" spans="1:4" x14ac:dyDescent="0.25">
      <c r="A42" t="s">
        <v>202</v>
      </c>
      <c r="B42">
        <v>5</v>
      </c>
    </row>
    <row r="43" spans="1:4" x14ac:dyDescent="0.25">
      <c r="A43" s="170" t="s">
        <v>205</v>
      </c>
      <c r="B43" s="170">
        <v>6</v>
      </c>
    </row>
    <row r="44" spans="1:4" x14ac:dyDescent="0.25">
      <c r="A44" s="170" t="s">
        <v>206</v>
      </c>
      <c r="B44" s="170">
        <v>7</v>
      </c>
    </row>
    <row r="45" spans="1:4" x14ac:dyDescent="0.25">
      <c r="A45" s="170" t="s">
        <v>207</v>
      </c>
      <c r="B45" s="170">
        <v>8</v>
      </c>
    </row>
    <row r="46" spans="1:4" x14ac:dyDescent="0.25">
      <c r="A46" t="s">
        <v>208</v>
      </c>
      <c r="B46">
        <v>9</v>
      </c>
    </row>
    <row r="47" spans="1:4" x14ac:dyDescent="0.25">
      <c r="A47" t="s">
        <v>209</v>
      </c>
      <c r="B47">
        <v>10</v>
      </c>
    </row>
    <row r="48" spans="1:4" x14ac:dyDescent="0.25">
      <c r="A48" t="s">
        <v>211</v>
      </c>
      <c r="B48">
        <v>11</v>
      </c>
    </row>
    <row r="49" spans="1:2" x14ac:dyDescent="0.25">
      <c r="A49" t="s">
        <v>214</v>
      </c>
      <c r="B49">
        <v>12</v>
      </c>
    </row>
    <row r="50" spans="1:2" x14ac:dyDescent="0.25">
      <c r="A50" t="s">
        <v>216</v>
      </c>
      <c r="B50">
        <v>13</v>
      </c>
    </row>
    <row r="51" spans="1:2" x14ac:dyDescent="0.25">
      <c r="A51" t="s">
        <v>157</v>
      </c>
      <c r="B51">
        <v>14</v>
      </c>
    </row>
    <row r="52" spans="1:2" x14ac:dyDescent="0.25">
      <c r="A52" t="s">
        <v>217</v>
      </c>
      <c r="B52">
        <v>15</v>
      </c>
    </row>
    <row r="53" spans="1:2" x14ac:dyDescent="0.25">
      <c r="A53" t="s">
        <v>219</v>
      </c>
      <c r="B53">
        <v>16</v>
      </c>
    </row>
    <row r="54" spans="1:2" x14ac:dyDescent="0.25">
      <c r="A54" t="s">
        <v>222</v>
      </c>
      <c r="B54">
        <v>17</v>
      </c>
    </row>
    <row r="55" spans="1:2" x14ac:dyDescent="0.25">
      <c r="A55" t="s">
        <v>224</v>
      </c>
      <c r="B55">
        <v>18</v>
      </c>
    </row>
    <row r="56" spans="1:2" x14ac:dyDescent="0.25">
      <c r="A56" s="170" t="s">
        <v>225</v>
      </c>
      <c r="B56" s="170">
        <v>19</v>
      </c>
    </row>
    <row r="57" spans="1:2" x14ac:dyDescent="0.25">
      <c r="A57" s="170" t="s">
        <v>226</v>
      </c>
      <c r="B57" s="170">
        <v>20</v>
      </c>
    </row>
    <row r="58" spans="1:2" x14ac:dyDescent="0.25">
      <c r="A58" t="s">
        <v>228</v>
      </c>
      <c r="B58">
        <v>21</v>
      </c>
    </row>
    <row r="59" spans="1:2" x14ac:dyDescent="0.25">
      <c r="A59" t="s">
        <v>229</v>
      </c>
      <c r="B59">
        <v>22</v>
      </c>
    </row>
    <row r="60" spans="1:2" x14ac:dyDescent="0.25">
      <c r="A60" t="s">
        <v>230</v>
      </c>
      <c r="B60">
        <v>23</v>
      </c>
    </row>
    <row r="61" spans="1:2" x14ac:dyDescent="0.25">
      <c r="A61" s="170" t="s">
        <v>233</v>
      </c>
      <c r="B61" s="170">
        <v>24</v>
      </c>
    </row>
    <row r="62" spans="1:2" x14ac:dyDescent="0.25">
      <c r="A62" s="170" t="s">
        <v>236</v>
      </c>
      <c r="B62" s="170">
        <v>25</v>
      </c>
    </row>
    <row r="63" spans="1:2" x14ac:dyDescent="0.25">
      <c r="A63" t="s">
        <v>238</v>
      </c>
      <c r="B63">
        <v>26</v>
      </c>
    </row>
    <row r="64" spans="1:2" x14ac:dyDescent="0.25">
      <c r="A64" s="170" t="s">
        <v>241</v>
      </c>
      <c r="B64" s="170">
        <v>27</v>
      </c>
    </row>
    <row r="65" spans="1:2" x14ac:dyDescent="0.25">
      <c r="A65" s="170" t="s">
        <v>242</v>
      </c>
      <c r="B65" s="170">
        <v>28</v>
      </c>
    </row>
    <row r="66" spans="1:2" x14ac:dyDescent="0.25">
      <c r="A66" t="s">
        <v>243</v>
      </c>
      <c r="B66">
        <v>29</v>
      </c>
    </row>
    <row r="67" spans="1:2" x14ac:dyDescent="0.25">
      <c r="A67" t="s">
        <v>244</v>
      </c>
      <c r="B67">
        <v>30</v>
      </c>
    </row>
    <row r="68" spans="1:2" x14ac:dyDescent="0.25">
      <c r="A68" t="s">
        <v>246</v>
      </c>
      <c r="B68">
        <v>31</v>
      </c>
    </row>
  </sheetData>
  <autoFilter ref="A3:D34" xr:uid="{C08CF5BC-E3EF-4FC5-9446-EA67F1297FCC}"/>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R138"/>
  <sheetViews>
    <sheetView topLeftCell="A18" workbookViewId="0">
      <selection activeCell="F70" sqref="F70"/>
    </sheetView>
  </sheetViews>
  <sheetFormatPr defaultColWidth="9.140625" defaultRowHeight="12.75" x14ac:dyDescent="0.25"/>
  <cols>
    <col min="1" max="1" width="3.5703125" style="55" customWidth="1"/>
    <col min="2" max="2" width="18" style="55" hidden="1" customWidth="1"/>
    <col min="3" max="3" width="14.7109375" style="55" customWidth="1"/>
    <col min="4" max="4" width="5" style="55" customWidth="1"/>
    <col min="5" max="5" width="21.7109375" style="55" customWidth="1"/>
    <col min="6" max="6" width="26.85546875" style="56" customWidth="1"/>
    <col min="7" max="7" width="5.7109375" style="55" customWidth="1"/>
    <col min="8" max="8" width="6.7109375" style="55" customWidth="1"/>
    <col min="9" max="12" width="11.85546875" style="55" hidden="1" customWidth="1"/>
    <col min="13" max="13" width="11" style="55" bestFit="1" customWidth="1"/>
    <col min="14" max="14" width="12.85546875" style="55" customWidth="1"/>
    <col min="15" max="15" width="13.5703125" style="55" customWidth="1"/>
    <col min="16" max="16384" width="9.140625" style="55"/>
  </cols>
  <sheetData>
    <row r="1" spans="1:18" s="53" customFormat="1" x14ac:dyDescent="0.25">
      <c r="A1" s="53">
        <v>1</v>
      </c>
      <c r="B1" s="53">
        <v>2</v>
      </c>
      <c r="C1" s="53">
        <v>3</v>
      </c>
      <c r="D1" s="53">
        <v>4</v>
      </c>
      <c r="E1" s="53">
        <v>5</v>
      </c>
      <c r="F1" s="27">
        <v>6</v>
      </c>
      <c r="G1" s="53">
        <v>7</v>
      </c>
      <c r="H1" s="53">
        <v>8</v>
      </c>
      <c r="I1" s="53">
        <v>9</v>
      </c>
      <c r="J1" s="53">
        <v>10</v>
      </c>
      <c r="K1" s="53">
        <v>11</v>
      </c>
      <c r="L1" s="53">
        <v>12</v>
      </c>
      <c r="M1" s="53">
        <v>13</v>
      </c>
      <c r="N1" s="53">
        <v>14</v>
      </c>
      <c r="O1" s="53">
        <v>15</v>
      </c>
      <c r="P1" s="53">
        <v>16</v>
      </c>
      <c r="Q1" s="53">
        <v>17</v>
      </c>
      <c r="R1" s="53">
        <v>18</v>
      </c>
    </row>
    <row r="2" spans="1:18" s="54" customFormat="1" x14ac:dyDescent="0.25">
      <c r="A2" s="80">
        <v>1</v>
      </c>
      <c r="B2" s="80" t="s">
        <v>84</v>
      </c>
      <c r="C2" s="80" t="str">
        <f>B2</f>
        <v>Метамизол натрия</v>
      </c>
      <c r="D2" s="80">
        <v>1</v>
      </c>
      <c r="E2" s="80" t="str">
        <f>Таблица3[[#Headers],[Лекарственная форма]]</f>
        <v>Лекарственная форма</v>
      </c>
      <c r="F2" s="81" t="e">
        <f>VLOOKUP($B2,#REF!,2,0)</f>
        <v>#REF!</v>
      </c>
      <c r="G2" s="80" t="e">
        <f>VLOOKUP($B2,#REF!,6,0)</f>
        <v>#REF!</v>
      </c>
      <c r="H2" s="80" t="e">
        <f>VLOOKUP($B2,'Анализ рынка'!$G:$AL,35,0)</f>
        <v>#REF!</v>
      </c>
      <c r="I2" s="80" t="e">
        <f>J2&amp;$J$1&amp;K2&amp;$K$1&amp;L2&amp;$L$1</f>
        <v>#REF!</v>
      </c>
      <c r="J2" s="80" t="e">
        <f>VLOOKUP($B2,#REF!,35,0)</f>
        <v>#REF!</v>
      </c>
      <c r="K2" s="80" t="e">
        <f>VLOOKUP($B2,#REF!,36,0)</f>
        <v>#REF!</v>
      </c>
      <c r="L2" s="80" t="e">
        <f>VLOOKUP($B2,#REF!,37,0)</f>
        <v>#REF!</v>
      </c>
      <c r="M2" s="141" t="e">
        <f>VLOOKUP($C2,ИТОГ!$D$8:$M$45,4,0)</f>
        <v>#N/A</v>
      </c>
      <c r="N2" s="142" t="e">
        <f>M2*H2</f>
        <v>#N/A</v>
      </c>
      <c r="O2" s="80" t="e">
        <f>VLOOKUP($C2,ИТОГ!$D$8:$M$45,9,0)</f>
        <v>#N/A</v>
      </c>
      <c r="P2" s="80"/>
      <c r="Q2" s="80"/>
      <c r="R2" s="80"/>
    </row>
    <row r="3" spans="1:18" hidden="1" x14ac:dyDescent="0.25">
      <c r="A3" s="82"/>
      <c r="B3" s="80" t="s">
        <v>84</v>
      </c>
      <c r="C3" s="80"/>
      <c r="D3" s="82">
        <v>2</v>
      </c>
      <c r="E3" s="82" t="str">
        <f>Таблица3[[#Headers],[Дозировка]]</f>
        <v>Дозировка</v>
      </c>
      <c r="F3" s="83" t="e">
        <f>VLOOKUP($B3,#REF!,3,0)</f>
        <v>#REF!</v>
      </c>
      <c r="G3" s="82"/>
      <c r="H3" s="80"/>
      <c r="I3" s="82"/>
      <c r="J3" s="82"/>
      <c r="K3" s="82"/>
      <c r="L3" s="82"/>
      <c r="M3" s="141"/>
      <c r="N3" s="142"/>
      <c r="O3" s="80"/>
      <c r="P3" s="82"/>
      <c r="Q3" s="82"/>
      <c r="R3" s="82"/>
    </row>
    <row r="4" spans="1:18" hidden="1" x14ac:dyDescent="0.25">
      <c r="A4" s="82"/>
      <c r="B4" s="80" t="s">
        <v>84</v>
      </c>
      <c r="C4" s="80"/>
      <c r="D4" s="82">
        <v>3</v>
      </c>
      <c r="E4" s="82" t="str">
        <f>Таблица3[[#Headers],[Первичная упаковка]]</f>
        <v>Первичная упаковка</v>
      </c>
      <c r="F4" s="83" t="e">
        <f>VLOOKUP($B4,#REF!,4,0)</f>
        <v>#REF!</v>
      </c>
      <c r="G4" s="82"/>
      <c r="H4" s="80"/>
      <c r="I4" s="82"/>
      <c r="J4" s="82"/>
      <c r="K4" s="82"/>
      <c r="L4" s="82"/>
      <c r="M4" s="141"/>
      <c r="N4" s="142"/>
      <c r="O4" s="80"/>
      <c r="P4" s="82"/>
      <c r="Q4" s="82"/>
      <c r="R4" s="82"/>
    </row>
    <row r="5" spans="1:18" hidden="1" x14ac:dyDescent="0.25">
      <c r="A5" s="82"/>
      <c r="B5" s="80" t="s">
        <v>84</v>
      </c>
      <c r="C5" s="80"/>
      <c r="D5" s="82">
        <v>4</v>
      </c>
      <c r="E5" s="82" t="str">
        <f>Таблица3[[#Headers],[Описание упаковки]]</f>
        <v>Описание упаковки</v>
      </c>
      <c r="F5" s="83" t="e">
        <f>VLOOKUP($B5,#REF!,5,0)</f>
        <v>#REF!</v>
      </c>
      <c r="G5" s="82"/>
      <c r="H5" s="80"/>
      <c r="I5" s="82"/>
      <c r="J5" s="82"/>
      <c r="K5" s="82"/>
      <c r="L5" s="82"/>
      <c r="M5" s="141"/>
      <c r="N5" s="142"/>
      <c r="O5" s="80"/>
      <c r="P5" s="82"/>
      <c r="Q5" s="82"/>
      <c r="R5" s="82"/>
    </row>
    <row r="6" spans="1:18" s="85" customFormat="1" x14ac:dyDescent="0.25">
      <c r="A6" s="84">
        <v>2</v>
      </c>
      <c r="B6" s="84" t="s">
        <v>118</v>
      </c>
      <c r="C6" s="84" t="s">
        <v>118</v>
      </c>
      <c r="D6" s="84">
        <v>1</v>
      </c>
      <c r="E6" s="84" t="str">
        <f>Таблица3[[#Headers],[Лекарственная форма]]</f>
        <v>Лекарственная форма</v>
      </c>
      <c r="F6" s="84" t="e">
        <f>VLOOKUP($B6,#REF!,2,0)</f>
        <v>#REF!</v>
      </c>
      <c r="G6" s="84" t="e">
        <f>VLOOKUP($B6,#REF!,6,0)</f>
        <v>#REF!</v>
      </c>
      <c r="H6" s="84" t="e">
        <f>VLOOKUP($B6,#REF!,38,0)</f>
        <v>#REF!</v>
      </c>
      <c r="I6" s="84" t="e">
        <f t="shared" ref="I6" si="0">J6&amp;$J$1&amp;K6&amp;$K$1&amp;L6&amp;$L$1</f>
        <v>#REF!</v>
      </c>
      <c r="J6" s="84" t="e">
        <f>VLOOKUP($B6,#REF!,35,0)</f>
        <v>#REF!</v>
      </c>
      <c r="K6" s="84" t="e">
        <f>VLOOKUP($B6,#REF!,36,0)</f>
        <v>#REF!</v>
      </c>
      <c r="L6" s="84" t="e">
        <f>VLOOKUP($B6,#REF!,37,0)</f>
        <v>#REF!</v>
      </c>
      <c r="M6" s="86"/>
      <c r="N6" s="86"/>
      <c r="O6" s="86"/>
      <c r="P6" s="86"/>
      <c r="Q6" s="86"/>
      <c r="R6" s="86"/>
    </row>
    <row r="7" spans="1:18" s="85" customFormat="1" hidden="1" x14ac:dyDescent="0.25">
      <c r="A7" s="86"/>
      <c r="B7" s="84" t="s">
        <v>118</v>
      </c>
      <c r="C7" s="86"/>
      <c r="D7" s="86">
        <v>2</v>
      </c>
      <c r="E7" s="86" t="str">
        <f>Таблица3[[#Headers],[Дозировка]]</f>
        <v>Дозировка</v>
      </c>
      <c r="F7" s="86" t="e">
        <f>VLOOKUP($B7,#REF!,3,0)</f>
        <v>#REF!</v>
      </c>
      <c r="G7" s="86"/>
      <c r="H7" s="86"/>
      <c r="I7" s="86"/>
      <c r="J7" s="86"/>
      <c r="K7" s="86"/>
      <c r="L7" s="86"/>
      <c r="M7" s="86"/>
      <c r="N7" s="86"/>
      <c r="O7" s="86"/>
      <c r="P7" s="86"/>
      <c r="Q7" s="86"/>
      <c r="R7" s="86"/>
    </row>
    <row r="8" spans="1:18" s="85" customFormat="1" hidden="1" x14ac:dyDescent="0.25">
      <c r="A8" s="86"/>
      <c r="B8" s="84" t="s">
        <v>118</v>
      </c>
      <c r="C8" s="86"/>
      <c r="D8" s="86">
        <v>3</v>
      </c>
      <c r="E8" s="86" t="str">
        <f>Таблица3[[#Headers],[Первичная упаковка]]</f>
        <v>Первичная упаковка</v>
      </c>
      <c r="F8" s="86" t="e">
        <f>VLOOKUP($B8,#REF!,4,0)</f>
        <v>#REF!</v>
      </c>
      <c r="G8" s="86"/>
      <c r="H8" s="86"/>
      <c r="I8" s="86"/>
      <c r="J8" s="86"/>
      <c r="K8" s="86"/>
      <c r="L8" s="86"/>
      <c r="M8" s="86"/>
      <c r="N8" s="86"/>
      <c r="O8" s="86"/>
      <c r="P8" s="86"/>
      <c r="Q8" s="86"/>
      <c r="R8" s="86"/>
    </row>
    <row r="9" spans="1:18" s="85" customFormat="1" hidden="1" x14ac:dyDescent="0.25">
      <c r="A9" s="86"/>
      <c r="B9" s="84" t="s">
        <v>118</v>
      </c>
      <c r="C9" s="86"/>
      <c r="D9" s="86">
        <v>4</v>
      </c>
      <c r="E9" s="86" t="str">
        <f>Таблица3[[#Headers],[Описание упаковки]]</f>
        <v>Описание упаковки</v>
      </c>
      <c r="F9" s="86" t="e">
        <f>VLOOKUP($B9,#REF!,5,0)</f>
        <v>#REF!</v>
      </c>
      <c r="G9" s="86"/>
      <c r="H9" s="86"/>
      <c r="I9" s="86"/>
      <c r="J9" s="86"/>
      <c r="K9" s="86"/>
      <c r="L9" s="86"/>
      <c r="M9" s="86"/>
      <c r="N9" s="86"/>
      <c r="O9" s="86"/>
      <c r="P9" s="86"/>
      <c r="Q9" s="86"/>
      <c r="R9" s="86"/>
    </row>
    <row r="10" spans="1:18" x14ac:dyDescent="0.25">
      <c r="A10" s="80">
        <v>3</v>
      </c>
      <c r="B10" s="80" t="s">
        <v>119</v>
      </c>
      <c r="C10" s="80" t="s">
        <v>119</v>
      </c>
      <c r="D10" s="80">
        <v>1</v>
      </c>
      <c r="E10" s="80" t="str">
        <f>Таблица3[[#Headers],[Лекарственная форма]]</f>
        <v>Лекарственная форма</v>
      </c>
      <c r="F10" s="81" t="e">
        <f>VLOOKUP($B10,#REF!,2,0)</f>
        <v>#REF!</v>
      </c>
      <c r="G10" s="80" t="e">
        <f>VLOOKUP($B10,#REF!,6,0)</f>
        <v>#REF!</v>
      </c>
      <c r="H10" s="80" t="e">
        <f>VLOOKUP($B10,'Анализ рынка'!$G:$AL,35,0)</f>
        <v>#N/A</v>
      </c>
      <c r="I10" s="80" t="e">
        <f t="shared" ref="I10" si="1">J10&amp;$J$1&amp;K10&amp;$K$1&amp;L10&amp;$L$1</f>
        <v>#REF!</v>
      </c>
      <c r="J10" s="80" t="e">
        <f>VLOOKUP($B10,#REF!,35,0)</f>
        <v>#REF!</v>
      </c>
      <c r="K10" s="80" t="e">
        <f>VLOOKUP($B10,#REF!,36,0)</f>
        <v>#REF!</v>
      </c>
      <c r="L10" s="80" t="e">
        <f>VLOOKUP($B10,#REF!,37,0)</f>
        <v>#REF!</v>
      </c>
      <c r="M10" s="141" t="e">
        <f>VLOOKUP($C10,ИТОГ!$D$8:$M$45,4,0)</f>
        <v>#N/A</v>
      </c>
      <c r="N10" s="142" t="e">
        <f t="shared" ref="N10:N66" si="2">M10*H10</f>
        <v>#N/A</v>
      </c>
      <c r="O10" s="80" t="e">
        <f>VLOOKUP($C10,ИТОГ!$D$8:$M$45,9,0)</f>
        <v>#N/A</v>
      </c>
      <c r="P10" s="82"/>
      <c r="Q10" s="82"/>
      <c r="R10" s="82"/>
    </row>
    <row r="11" spans="1:18" hidden="1" x14ac:dyDescent="0.25">
      <c r="A11" s="82"/>
      <c r="B11" s="82" t="s">
        <v>119</v>
      </c>
      <c r="C11" s="82"/>
      <c r="D11" s="82">
        <v>2</v>
      </c>
      <c r="E11" s="82" t="str">
        <f>Таблица3[[#Headers],[Дозировка]]</f>
        <v>Дозировка</v>
      </c>
      <c r="F11" s="83" t="e">
        <f>VLOOKUP($B11,#REF!,3,0)</f>
        <v>#REF!</v>
      </c>
      <c r="G11" s="82"/>
      <c r="H11" s="80"/>
      <c r="I11" s="82"/>
      <c r="J11" s="82"/>
      <c r="K11" s="82"/>
      <c r="L11" s="82"/>
      <c r="M11" s="141"/>
      <c r="N11" s="142"/>
      <c r="O11" s="80"/>
      <c r="P11" s="82"/>
      <c r="Q11" s="82"/>
      <c r="R11" s="82"/>
    </row>
    <row r="12" spans="1:18" hidden="1" x14ac:dyDescent="0.25">
      <c r="A12" s="82"/>
      <c r="B12" s="82" t="s">
        <v>119</v>
      </c>
      <c r="C12" s="82"/>
      <c r="D12" s="82">
        <v>3</v>
      </c>
      <c r="E12" s="82" t="str">
        <f>Таблица3[[#Headers],[Первичная упаковка]]</f>
        <v>Первичная упаковка</v>
      </c>
      <c r="F12" s="83" t="e">
        <f>VLOOKUP($B12,#REF!,4,0)</f>
        <v>#REF!</v>
      </c>
      <c r="G12" s="82"/>
      <c r="H12" s="80"/>
      <c r="I12" s="82"/>
      <c r="J12" s="82"/>
      <c r="K12" s="82"/>
      <c r="L12" s="82"/>
      <c r="M12" s="141"/>
      <c r="N12" s="142"/>
      <c r="O12" s="80"/>
      <c r="P12" s="82"/>
      <c r="Q12" s="82"/>
      <c r="R12" s="82"/>
    </row>
    <row r="13" spans="1:18" hidden="1" x14ac:dyDescent="0.25">
      <c r="A13" s="82"/>
      <c r="B13" s="82" t="s">
        <v>119</v>
      </c>
      <c r="C13" s="82"/>
      <c r="D13" s="82">
        <v>4</v>
      </c>
      <c r="E13" s="82" t="str">
        <f>Таблица3[[#Headers],[Описание упаковки]]</f>
        <v>Описание упаковки</v>
      </c>
      <c r="F13" s="83" t="e">
        <f>VLOOKUP($B13,#REF!,5,0)</f>
        <v>#REF!</v>
      </c>
      <c r="G13" s="82"/>
      <c r="H13" s="80"/>
      <c r="I13" s="82"/>
      <c r="J13" s="82"/>
      <c r="K13" s="82"/>
      <c r="L13" s="82"/>
      <c r="M13" s="141"/>
      <c r="N13" s="142"/>
      <c r="O13" s="80"/>
      <c r="P13" s="82"/>
      <c r="Q13" s="82"/>
      <c r="R13" s="82"/>
    </row>
    <row r="14" spans="1:18" x14ac:dyDescent="0.25">
      <c r="A14" s="80">
        <v>4</v>
      </c>
      <c r="B14" s="80" t="s">
        <v>120</v>
      </c>
      <c r="C14" s="80" t="s">
        <v>120</v>
      </c>
      <c r="D14" s="80">
        <v>1</v>
      </c>
      <c r="E14" s="80" t="str">
        <f>Таблица3[[#Headers],[Лекарственная форма]]</f>
        <v>Лекарственная форма</v>
      </c>
      <c r="F14" s="81" t="e">
        <f>VLOOKUP($B14,#REF!,2,0)</f>
        <v>#REF!</v>
      </c>
      <c r="G14" s="80" t="e">
        <f>VLOOKUP($B14,#REF!,6,0)</f>
        <v>#REF!</v>
      </c>
      <c r="H14" s="80" t="e">
        <f>VLOOKUP($B14,'Анализ рынка'!$G:$AL,35,0)</f>
        <v>#REF!</v>
      </c>
      <c r="I14" s="80" t="e">
        <f t="shared" ref="I14" si="3">J14&amp;$J$1&amp;K14&amp;$K$1&amp;L14&amp;$L$1</f>
        <v>#REF!</v>
      </c>
      <c r="J14" s="80" t="e">
        <f>VLOOKUP($B14,#REF!,35,0)</f>
        <v>#REF!</v>
      </c>
      <c r="K14" s="80" t="e">
        <f>VLOOKUP($B14,#REF!,36,0)</f>
        <v>#REF!</v>
      </c>
      <c r="L14" s="80" t="e">
        <f>VLOOKUP($B14,#REF!,37,0)</f>
        <v>#REF!</v>
      </c>
      <c r="M14" s="141" t="e">
        <f>VLOOKUP($C14,ИТОГ!$D$8:$M$45,4,0)</f>
        <v>#N/A</v>
      </c>
      <c r="N14" s="142" t="e">
        <f t="shared" si="2"/>
        <v>#N/A</v>
      </c>
      <c r="O14" s="80" t="e">
        <f>VLOOKUP($C14,ИТОГ!$D$8:$M$45,9,0)</f>
        <v>#N/A</v>
      </c>
      <c r="P14" s="82"/>
      <c r="Q14" s="82"/>
      <c r="R14" s="82"/>
    </row>
    <row r="15" spans="1:18" hidden="1" x14ac:dyDescent="0.25">
      <c r="A15" s="82"/>
      <c r="B15" s="82" t="s">
        <v>120</v>
      </c>
      <c r="C15" s="82"/>
      <c r="D15" s="82">
        <v>2</v>
      </c>
      <c r="E15" s="82" t="str">
        <f>Таблица3[[#Headers],[Дозировка]]</f>
        <v>Дозировка</v>
      </c>
      <c r="F15" s="83" t="e">
        <f>VLOOKUP($B15,#REF!,3,0)</f>
        <v>#REF!</v>
      </c>
      <c r="G15" s="82"/>
      <c r="H15" s="80"/>
      <c r="I15" s="82"/>
      <c r="J15" s="82"/>
      <c r="K15" s="82"/>
      <c r="L15" s="82"/>
      <c r="M15" s="141"/>
      <c r="N15" s="142"/>
      <c r="O15" s="80"/>
      <c r="P15" s="82"/>
      <c r="Q15" s="82"/>
      <c r="R15" s="82"/>
    </row>
    <row r="16" spans="1:18" hidden="1" x14ac:dyDescent="0.25">
      <c r="A16" s="82"/>
      <c r="B16" s="82" t="s">
        <v>120</v>
      </c>
      <c r="C16" s="82"/>
      <c r="D16" s="82">
        <v>3</v>
      </c>
      <c r="E16" s="82" t="str">
        <f>Таблица3[[#Headers],[Первичная упаковка]]</f>
        <v>Первичная упаковка</v>
      </c>
      <c r="F16" s="83" t="e">
        <f>VLOOKUP($B16,#REF!,4,0)</f>
        <v>#REF!</v>
      </c>
      <c r="G16" s="82"/>
      <c r="H16" s="80"/>
      <c r="I16" s="82"/>
      <c r="J16" s="82"/>
      <c r="K16" s="82"/>
      <c r="L16" s="82"/>
      <c r="M16" s="141"/>
      <c r="N16" s="142"/>
      <c r="O16" s="80"/>
      <c r="P16" s="82"/>
      <c r="Q16" s="82"/>
      <c r="R16" s="82"/>
    </row>
    <row r="17" spans="1:18" hidden="1" x14ac:dyDescent="0.25">
      <c r="A17" s="82"/>
      <c r="B17" s="82" t="s">
        <v>120</v>
      </c>
      <c r="C17" s="82"/>
      <c r="D17" s="82">
        <v>4</v>
      </c>
      <c r="E17" s="82" t="str">
        <f>Таблица3[[#Headers],[Описание упаковки]]</f>
        <v>Описание упаковки</v>
      </c>
      <c r="F17" s="83" t="e">
        <f>VLOOKUP($B17,#REF!,5,0)</f>
        <v>#REF!</v>
      </c>
      <c r="G17" s="82"/>
      <c r="H17" s="80"/>
      <c r="I17" s="82"/>
      <c r="J17" s="82"/>
      <c r="K17" s="82"/>
      <c r="L17" s="82"/>
      <c r="M17" s="141"/>
      <c r="N17" s="142"/>
      <c r="O17" s="80"/>
      <c r="P17" s="82"/>
      <c r="Q17" s="82"/>
      <c r="R17" s="82"/>
    </row>
    <row r="18" spans="1:18" s="85" customFormat="1" x14ac:dyDescent="0.25">
      <c r="A18" s="84">
        <v>5</v>
      </c>
      <c r="B18" s="84" t="s">
        <v>121</v>
      </c>
      <c r="C18" s="84" t="s">
        <v>121</v>
      </c>
      <c r="D18" s="84">
        <v>1</v>
      </c>
      <c r="E18" s="84" t="str">
        <f>Таблица3[[#Headers],[Лекарственная форма]]</f>
        <v>Лекарственная форма</v>
      </c>
      <c r="F18" s="84" t="e">
        <f>VLOOKUP($B18,#REF!,2,0)</f>
        <v>#REF!</v>
      </c>
      <c r="G18" s="84" t="e">
        <f>VLOOKUP($B18,#REF!,6,0)</f>
        <v>#REF!</v>
      </c>
      <c r="H18" s="84" t="e">
        <f>VLOOKUP($B18,#REF!,38,0)</f>
        <v>#REF!</v>
      </c>
      <c r="I18" s="84" t="e">
        <f t="shared" ref="I18" si="4">J18&amp;$J$1&amp;K18&amp;$K$1&amp;L18&amp;$L$1</f>
        <v>#REF!</v>
      </c>
      <c r="J18" s="84" t="e">
        <f>VLOOKUP($B18,#REF!,35,0)</f>
        <v>#REF!</v>
      </c>
      <c r="K18" s="84" t="e">
        <f>VLOOKUP($B18,#REF!,36,0)</f>
        <v>#REF!</v>
      </c>
      <c r="L18" s="84" t="e">
        <f>VLOOKUP($B18,#REF!,37,0)</f>
        <v>#REF!</v>
      </c>
      <c r="M18" s="86"/>
      <c r="N18" s="86"/>
      <c r="O18" s="86"/>
      <c r="P18" s="86"/>
      <c r="Q18" s="86"/>
      <c r="R18" s="86"/>
    </row>
    <row r="19" spans="1:18" s="85" customFormat="1" hidden="1" x14ac:dyDescent="0.25">
      <c r="A19" s="86"/>
      <c r="B19" s="86" t="s">
        <v>121</v>
      </c>
      <c r="C19" s="86"/>
      <c r="D19" s="86">
        <v>2</v>
      </c>
      <c r="E19" s="86" t="str">
        <f>Таблица3[[#Headers],[Дозировка]]</f>
        <v>Дозировка</v>
      </c>
      <c r="F19" s="86" t="e">
        <f>VLOOKUP($B19,#REF!,3,0)</f>
        <v>#REF!</v>
      </c>
      <c r="G19" s="86"/>
      <c r="H19" s="86"/>
      <c r="I19" s="86"/>
      <c r="J19" s="86"/>
      <c r="K19" s="86"/>
      <c r="L19" s="86"/>
      <c r="M19" s="86"/>
      <c r="N19" s="86"/>
      <c r="O19" s="86"/>
      <c r="P19" s="86"/>
      <c r="Q19" s="86"/>
      <c r="R19" s="86"/>
    </row>
    <row r="20" spans="1:18" s="85" customFormat="1" hidden="1" x14ac:dyDescent="0.25">
      <c r="A20" s="86"/>
      <c r="B20" s="86" t="s">
        <v>121</v>
      </c>
      <c r="C20" s="86"/>
      <c r="D20" s="86">
        <v>3</v>
      </c>
      <c r="E20" s="86" t="str">
        <f>Таблица3[[#Headers],[Первичная упаковка]]</f>
        <v>Первичная упаковка</v>
      </c>
      <c r="F20" s="86" t="e">
        <f>VLOOKUP($B20,#REF!,4,0)</f>
        <v>#REF!</v>
      </c>
      <c r="G20" s="86"/>
      <c r="H20" s="86"/>
      <c r="I20" s="86"/>
      <c r="J20" s="86"/>
      <c r="K20" s="86"/>
      <c r="L20" s="86"/>
      <c r="M20" s="86"/>
      <c r="N20" s="86"/>
      <c r="O20" s="86"/>
      <c r="P20" s="86"/>
      <c r="Q20" s="86"/>
      <c r="R20" s="86"/>
    </row>
    <row r="21" spans="1:18" s="85" customFormat="1" hidden="1" x14ac:dyDescent="0.25">
      <c r="A21" s="86"/>
      <c r="B21" s="86" t="s">
        <v>121</v>
      </c>
      <c r="C21" s="86"/>
      <c r="D21" s="86">
        <v>4</v>
      </c>
      <c r="E21" s="86" t="str">
        <f>Таблица3[[#Headers],[Описание упаковки]]</f>
        <v>Описание упаковки</v>
      </c>
      <c r="F21" s="86" t="e">
        <f>VLOOKUP($B21,#REF!,5,0)</f>
        <v>#REF!</v>
      </c>
      <c r="G21" s="86"/>
      <c r="H21" s="86"/>
      <c r="I21" s="86"/>
      <c r="J21" s="86"/>
      <c r="K21" s="86"/>
      <c r="L21" s="86"/>
      <c r="M21" s="86"/>
      <c r="N21" s="86"/>
      <c r="O21" s="86"/>
      <c r="P21" s="86"/>
      <c r="Q21" s="86"/>
      <c r="R21" s="86"/>
    </row>
    <row r="22" spans="1:18" x14ac:dyDescent="0.25">
      <c r="A22" s="80">
        <v>6</v>
      </c>
      <c r="B22" s="80" t="s">
        <v>122</v>
      </c>
      <c r="C22" s="80" t="s">
        <v>122</v>
      </c>
      <c r="D22" s="80">
        <v>1</v>
      </c>
      <c r="E22" s="80" t="str">
        <f>Таблица3[[#Headers],[Лекарственная форма]]</f>
        <v>Лекарственная форма</v>
      </c>
      <c r="F22" s="81" t="e">
        <f>VLOOKUP($B22,#REF!,2,0)</f>
        <v>#REF!</v>
      </c>
      <c r="G22" s="80" t="e">
        <f>VLOOKUP($B22,#REF!,6,0)</f>
        <v>#REF!</v>
      </c>
      <c r="H22" s="80" t="e">
        <f>VLOOKUP($B22,'Анализ рынка'!$G:$AL,35,0)</f>
        <v>#REF!</v>
      </c>
      <c r="I22" s="80" t="e">
        <f t="shared" ref="I22" si="5">J22&amp;$J$1&amp;K22&amp;$K$1&amp;L22&amp;$L$1</f>
        <v>#REF!</v>
      </c>
      <c r="J22" s="80" t="e">
        <f>VLOOKUP($B22,#REF!,35,0)</f>
        <v>#REF!</v>
      </c>
      <c r="K22" s="80" t="e">
        <f>VLOOKUP($B22,#REF!,36,0)</f>
        <v>#REF!</v>
      </c>
      <c r="L22" s="80" t="e">
        <f>VLOOKUP($B22,#REF!,37,0)</f>
        <v>#REF!</v>
      </c>
      <c r="M22" s="141" t="e">
        <f>VLOOKUP($C22,ИТОГ!$D$8:$M$45,4,0)</f>
        <v>#N/A</v>
      </c>
      <c r="N22" s="142" t="e">
        <f t="shared" si="2"/>
        <v>#N/A</v>
      </c>
      <c r="O22" s="80" t="e">
        <f>VLOOKUP($C22,ИТОГ!$D$8:$M$45,9,0)</f>
        <v>#N/A</v>
      </c>
      <c r="P22" s="82"/>
      <c r="Q22" s="82"/>
      <c r="R22" s="82"/>
    </row>
    <row r="23" spans="1:18" hidden="1" x14ac:dyDescent="0.25">
      <c r="A23" s="82"/>
      <c r="B23" s="82" t="s">
        <v>122</v>
      </c>
      <c r="C23" s="82"/>
      <c r="D23" s="82">
        <v>2</v>
      </c>
      <c r="E23" s="82" t="str">
        <f>Таблица3[[#Headers],[Дозировка]]</f>
        <v>Дозировка</v>
      </c>
      <c r="F23" s="83" t="e">
        <f>VLOOKUP($B23,#REF!,3,0)</f>
        <v>#REF!</v>
      </c>
      <c r="G23" s="82"/>
      <c r="H23" s="80"/>
      <c r="I23" s="82"/>
      <c r="J23" s="82"/>
      <c r="K23" s="82"/>
      <c r="L23" s="82"/>
      <c r="M23" s="141"/>
      <c r="N23" s="142"/>
      <c r="O23" s="80"/>
      <c r="P23" s="82"/>
      <c r="Q23" s="82"/>
      <c r="R23" s="82"/>
    </row>
    <row r="24" spans="1:18" hidden="1" x14ac:dyDescent="0.25">
      <c r="A24" s="82"/>
      <c r="B24" s="82" t="s">
        <v>122</v>
      </c>
      <c r="C24" s="82"/>
      <c r="D24" s="82">
        <v>3</v>
      </c>
      <c r="E24" s="82" t="str">
        <f>Таблица3[[#Headers],[Первичная упаковка]]</f>
        <v>Первичная упаковка</v>
      </c>
      <c r="F24" s="83" t="e">
        <f>VLOOKUP($B24,#REF!,4,0)</f>
        <v>#REF!</v>
      </c>
      <c r="G24" s="82"/>
      <c r="H24" s="80"/>
      <c r="I24" s="82"/>
      <c r="J24" s="82"/>
      <c r="K24" s="82"/>
      <c r="L24" s="82"/>
      <c r="M24" s="141"/>
      <c r="N24" s="142"/>
      <c r="O24" s="80"/>
      <c r="P24" s="82"/>
      <c r="Q24" s="82"/>
      <c r="R24" s="82"/>
    </row>
    <row r="25" spans="1:18" hidden="1" x14ac:dyDescent="0.25">
      <c r="A25" s="82"/>
      <c r="B25" s="82" t="s">
        <v>122</v>
      </c>
      <c r="C25" s="82"/>
      <c r="D25" s="82">
        <v>4</v>
      </c>
      <c r="E25" s="82" t="str">
        <f>Таблица3[[#Headers],[Описание упаковки]]</f>
        <v>Описание упаковки</v>
      </c>
      <c r="F25" s="83" t="e">
        <f>VLOOKUP($B25,#REF!,5,0)</f>
        <v>#REF!</v>
      </c>
      <c r="G25" s="82"/>
      <c r="H25" s="80"/>
      <c r="I25" s="82"/>
      <c r="J25" s="82"/>
      <c r="K25" s="82"/>
      <c r="L25" s="82"/>
      <c r="M25" s="141"/>
      <c r="N25" s="142"/>
      <c r="O25" s="80"/>
      <c r="P25" s="82"/>
      <c r="Q25" s="82"/>
      <c r="R25" s="82"/>
    </row>
    <row r="26" spans="1:18" x14ac:dyDescent="0.25">
      <c r="A26" s="80">
        <v>7</v>
      </c>
      <c r="B26" s="80" t="s">
        <v>123</v>
      </c>
      <c r="C26" s="80" t="s">
        <v>123</v>
      </c>
      <c r="D26" s="80">
        <v>1</v>
      </c>
      <c r="E26" s="80" t="str">
        <f>Таблица3[[#Headers],[Лекарственная форма]]</f>
        <v>Лекарственная форма</v>
      </c>
      <c r="F26" s="81" t="e">
        <f>VLOOKUP($B26,#REF!,2,0)</f>
        <v>#REF!</v>
      </c>
      <c r="G26" s="80" t="e">
        <f>VLOOKUP($B26,#REF!,6,0)</f>
        <v>#REF!</v>
      </c>
      <c r="H26" s="80" t="e">
        <f>VLOOKUP($B26,'Анализ рынка'!$G:$AL,35,0)</f>
        <v>#REF!</v>
      </c>
      <c r="I26" s="80" t="e">
        <f t="shared" ref="I26" si="6">J26&amp;$J$1&amp;K26&amp;$K$1&amp;L26&amp;$L$1</f>
        <v>#REF!</v>
      </c>
      <c r="J26" s="80" t="e">
        <f>VLOOKUP($B26,#REF!,35,0)</f>
        <v>#REF!</v>
      </c>
      <c r="K26" s="80" t="e">
        <f>VLOOKUP($B26,#REF!,36,0)</f>
        <v>#REF!</v>
      </c>
      <c r="L26" s="80" t="e">
        <f>VLOOKUP($B26,#REF!,37,0)</f>
        <v>#REF!</v>
      </c>
      <c r="M26" s="141" t="e">
        <f>VLOOKUP($C26,ИТОГ!$D$8:$M$45,4,0)</f>
        <v>#N/A</v>
      </c>
      <c r="N26" s="142" t="e">
        <f t="shared" si="2"/>
        <v>#N/A</v>
      </c>
      <c r="O26" s="80" t="e">
        <f>VLOOKUP($C26,ИТОГ!$D$8:$M$45,9,0)</f>
        <v>#N/A</v>
      </c>
      <c r="P26" s="82"/>
      <c r="Q26" s="82"/>
      <c r="R26" s="82"/>
    </row>
    <row r="27" spans="1:18" hidden="1" x14ac:dyDescent="0.25">
      <c r="A27" s="82"/>
      <c r="B27" s="82" t="s">
        <v>123</v>
      </c>
      <c r="C27" s="82"/>
      <c r="D27" s="82">
        <v>2</v>
      </c>
      <c r="E27" s="82" t="str">
        <f>Таблица3[[#Headers],[Дозировка]]</f>
        <v>Дозировка</v>
      </c>
      <c r="F27" s="83" t="e">
        <f>VLOOKUP($B27,#REF!,3,0)</f>
        <v>#REF!</v>
      </c>
      <c r="G27" s="82"/>
      <c r="H27" s="80"/>
      <c r="I27" s="82"/>
      <c r="J27" s="82"/>
      <c r="K27" s="82"/>
      <c r="L27" s="82"/>
      <c r="M27" s="141"/>
      <c r="N27" s="142"/>
      <c r="O27" s="80"/>
      <c r="P27" s="82"/>
      <c r="Q27" s="82"/>
      <c r="R27" s="82"/>
    </row>
    <row r="28" spans="1:18" hidden="1" x14ac:dyDescent="0.25">
      <c r="A28" s="82"/>
      <c r="B28" s="82" t="s">
        <v>123</v>
      </c>
      <c r="C28" s="82"/>
      <c r="D28" s="82">
        <v>3</v>
      </c>
      <c r="E28" s="82" t="str">
        <f>Таблица3[[#Headers],[Первичная упаковка]]</f>
        <v>Первичная упаковка</v>
      </c>
      <c r="F28" s="83" t="e">
        <f>VLOOKUP($B28,#REF!,4,0)</f>
        <v>#REF!</v>
      </c>
      <c r="G28" s="82"/>
      <c r="H28" s="80"/>
      <c r="I28" s="82"/>
      <c r="J28" s="82"/>
      <c r="K28" s="82"/>
      <c r="L28" s="82"/>
      <c r="M28" s="141"/>
      <c r="N28" s="142"/>
      <c r="O28" s="80"/>
      <c r="P28" s="82"/>
      <c r="Q28" s="82"/>
      <c r="R28" s="82"/>
    </row>
    <row r="29" spans="1:18" hidden="1" x14ac:dyDescent="0.25">
      <c r="A29" s="82"/>
      <c r="B29" s="82" t="s">
        <v>123</v>
      </c>
      <c r="C29" s="82"/>
      <c r="D29" s="82">
        <v>4</v>
      </c>
      <c r="E29" s="82" t="str">
        <f>Таблица3[[#Headers],[Описание упаковки]]</f>
        <v>Описание упаковки</v>
      </c>
      <c r="F29" s="83" t="e">
        <f>VLOOKUP($B29,#REF!,5,0)</f>
        <v>#REF!</v>
      </c>
      <c r="G29" s="82"/>
      <c r="H29" s="80"/>
      <c r="I29" s="82"/>
      <c r="J29" s="82"/>
      <c r="K29" s="82"/>
      <c r="L29" s="82"/>
      <c r="M29" s="141"/>
      <c r="N29" s="142"/>
      <c r="O29" s="80"/>
      <c r="P29" s="82"/>
      <c r="Q29" s="82"/>
      <c r="R29" s="82"/>
    </row>
    <row r="30" spans="1:18" x14ac:dyDescent="0.25">
      <c r="A30" s="84">
        <v>8</v>
      </c>
      <c r="B30" s="84" t="s">
        <v>175</v>
      </c>
      <c r="C30" s="84" t="s">
        <v>175</v>
      </c>
      <c r="D30" s="84">
        <v>1</v>
      </c>
      <c r="E30" s="84" t="str">
        <f>Таблица3[[#Headers],[Лекарственная форма]]</f>
        <v>Лекарственная форма</v>
      </c>
      <c r="F30" s="84" t="e">
        <f>VLOOKUP($B30,#REF!,2,0)</f>
        <v>#REF!</v>
      </c>
      <c r="G30" s="84" t="e">
        <f>VLOOKUP($B30,#REF!,6,0)</f>
        <v>#REF!</v>
      </c>
      <c r="H30" s="84" t="e">
        <f>VLOOKUP($B30,#REF!,38,0)</f>
        <v>#REF!</v>
      </c>
      <c r="I30" s="84" t="e">
        <f t="shared" ref="I30" si="7">J30&amp;$J$1&amp;K30&amp;$K$1&amp;L30&amp;$L$1</f>
        <v>#REF!</v>
      </c>
      <c r="J30" s="84" t="e">
        <f>VLOOKUP($B30,#REF!,35,0)</f>
        <v>#REF!</v>
      </c>
      <c r="K30" s="84" t="e">
        <f>VLOOKUP($B30,#REF!,36,0)</f>
        <v>#REF!</v>
      </c>
      <c r="L30" s="84" t="e">
        <f>VLOOKUP($B30,#REF!,37,0)</f>
        <v>#REF!</v>
      </c>
      <c r="M30" s="82"/>
      <c r="N30" s="82"/>
      <c r="O30" s="82"/>
      <c r="P30" s="82"/>
      <c r="Q30" s="82"/>
      <c r="R30" s="82"/>
    </row>
    <row r="31" spans="1:18" hidden="1" x14ac:dyDescent="0.25">
      <c r="A31" s="86"/>
      <c r="B31" s="86" t="s">
        <v>175</v>
      </c>
      <c r="C31" s="86"/>
      <c r="D31" s="86">
        <v>2</v>
      </c>
      <c r="E31" s="86" t="str">
        <f>Таблица3[[#Headers],[Дозировка]]</f>
        <v>Дозировка</v>
      </c>
      <c r="F31" s="86" t="e">
        <f>VLOOKUP($B31,#REF!,3,0)</f>
        <v>#REF!</v>
      </c>
      <c r="G31" s="86"/>
      <c r="H31" s="86"/>
      <c r="I31" s="86"/>
      <c r="J31" s="86"/>
      <c r="K31" s="86"/>
      <c r="L31" s="86"/>
      <c r="M31" s="82"/>
      <c r="N31" s="82"/>
      <c r="O31" s="82"/>
      <c r="P31" s="82"/>
      <c r="Q31" s="82"/>
      <c r="R31" s="82"/>
    </row>
    <row r="32" spans="1:18" hidden="1" x14ac:dyDescent="0.25">
      <c r="A32" s="86"/>
      <c r="B32" s="86" t="s">
        <v>175</v>
      </c>
      <c r="C32" s="86"/>
      <c r="D32" s="86">
        <v>3</v>
      </c>
      <c r="E32" s="86" t="str">
        <f>Таблица3[[#Headers],[Первичная упаковка]]</f>
        <v>Первичная упаковка</v>
      </c>
      <c r="F32" s="86" t="e">
        <f>VLOOKUP($B32,#REF!,4,0)</f>
        <v>#REF!</v>
      </c>
      <c r="G32" s="86"/>
      <c r="H32" s="86"/>
      <c r="I32" s="86"/>
      <c r="J32" s="86"/>
      <c r="K32" s="86"/>
      <c r="L32" s="86"/>
      <c r="M32" s="82"/>
      <c r="N32" s="82"/>
      <c r="O32" s="82"/>
      <c r="P32" s="82"/>
      <c r="Q32" s="82"/>
      <c r="R32" s="82"/>
    </row>
    <row r="33" spans="1:18" hidden="1" x14ac:dyDescent="0.25">
      <c r="A33" s="86"/>
      <c r="B33" s="86" t="s">
        <v>175</v>
      </c>
      <c r="C33" s="86"/>
      <c r="D33" s="86">
        <v>4</v>
      </c>
      <c r="E33" s="86" t="str">
        <f>Таблица3[[#Headers],[Описание упаковки]]</f>
        <v>Описание упаковки</v>
      </c>
      <c r="F33" s="86" t="e">
        <f>VLOOKUP($B33,#REF!,5,0)</f>
        <v>#REF!</v>
      </c>
      <c r="G33" s="86"/>
      <c r="H33" s="86"/>
      <c r="I33" s="86"/>
      <c r="J33" s="86"/>
      <c r="K33" s="86"/>
      <c r="L33" s="86"/>
      <c r="M33" s="82"/>
      <c r="N33" s="82"/>
      <c r="O33" s="82"/>
      <c r="P33" s="82"/>
      <c r="Q33" s="82"/>
      <c r="R33" s="82"/>
    </row>
    <row r="34" spans="1:18" x14ac:dyDescent="0.25">
      <c r="A34" s="80">
        <v>9</v>
      </c>
      <c r="B34" s="80" t="s">
        <v>124</v>
      </c>
      <c r="C34" s="80" t="s">
        <v>124</v>
      </c>
      <c r="D34" s="80">
        <v>1</v>
      </c>
      <c r="E34" s="80" t="str">
        <f>Таблица3[[#Headers],[Лекарственная форма]]</f>
        <v>Лекарственная форма</v>
      </c>
      <c r="F34" s="81" t="e">
        <f>VLOOKUP($B34,#REF!,2,0)</f>
        <v>#REF!</v>
      </c>
      <c r="G34" s="80" t="e">
        <f>VLOOKUP($B34,#REF!,6,0)</f>
        <v>#REF!</v>
      </c>
      <c r="H34" s="80" t="e">
        <f>VLOOKUP($B34,'Анализ рынка'!$G:$AL,35,0)</f>
        <v>#REF!</v>
      </c>
      <c r="I34" s="80" t="e">
        <f t="shared" ref="I34" si="8">J34&amp;$J$1&amp;K34&amp;$K$1&amp;L34&amp;$L$1</f>
        <v>#REF!</v>
      </c>
      <c r="J34" s="80" t="e">
        <f>VLOOKUP($B34,#REF!,35,0)</f>
        <v>#REF!</v>
      </c>
      <c r="K34" s="80" t="e">
        <f>VLOOKUP($B34,#REF!,36,0)</f>
        <v>#REF!</v>
      </c>
      <c r="L34" s="80" t="e">
        <f>VLOOKUP($B34,#REF!,37,0)</f>
        <v>#REF!</v>
      </c>
      <c r="M34" s="141" t="e">
        <f>VLOOKUP($C34,ИТОГ!$D$8:$M$45,4,0)</f>
        <v>#N/A</v>
      </c>
      <c r="N34" s="142" t="e">
        <f t="shared" si="2"/>
        <v>#N/A</v>
      </c>
      <c r="O34" s="80" t="e">
        <f>VLOOKUP($C34,ИТОГ!$D$8:$M$45,9,0)</f>
        <v>#N/A</v>
      </c>
      <c r="P34" s="82"/>
      <c r="Q34" s="82"/>
      <c r="R34" s="82"/>
    </row>
    <row r="35" spans="1:18" hidden="1" x14ac:dyDescent="0.25">
      <c r="A35" s="82"/>
      <c r="B35" s="82" t="s">
        <v>124</v>
      </c>
      <c r="C35" s="82"/>
      <c r="D35" s="82">
        <v>2</v>
      </c>
      <c r="E35" s="82" t="str">
        <f>Таблица3[[#Headers],[Дозировка]]</f>
        <v>Дозировка</v>
      </c>
      <c r="F35" s="83" t="e">
        <f>VLOOKUP($B35,#REF!,3,0)</f>
        <v>#REF!</v>
      </c>
      <c r="G35" s="82"/>
      <c r="H35" s="80"/>
      <c r="I35" s="82"/>
      <c r="J35" s="82"/>
      <c r="K35" s="82"/>
      <c r="L35" s="82"/>
      <c r="M35" s="141"/>
      <c r="N35" s="142"/>
      <c r="O35" s="80"/>
      <c r="P35" s="82"/>
      <c r="Q35" s="82"/>
      <c r="R35" s="82"/>
    </row>
    <row r="36" spans="1:18" hidden="1" x14ac:dyDescent="0.25">
      <c r="A36" s="82"/>
      <c r="B36" s="82" t="s">
        <v>124</v>
      </c>
      <c r="C36" s="82"/>
      <c r="D36" s="82">
        <v>3</v>
      </c>
      <c r="E36" s="82" t="str">
        <f>Таблица3[[#Headers],[Первичная упаковка]]</f>
        <v>Первичная упаковка</v>
      </c>
      <c r="F36" s="83" t="e">
        <f>VLOOKUP($B36,#REF!,4,0)</f>
        <v>#REF!</v>
      </c>
      <c r="G36" s="82"/>
      <c r="H36" s="80"/>
      <c r="I36" s="82"/>
      <c r="J36" s="82"/>
      <c r="K36" s="82"/>
      <c r="L36" s="82"/>
      <c r="M36" s="141"/>
      <c r="N36" s="142"/>
      <c r="O36" s="80"/>
      <c r="P36" s="82"/>
      <c r="Q36" s="82"/>
      <c r="R36" s="82"/>
    </row>
    <row r="37" spans="1:18" hidden="1" x14ac:dyDescent="0.25">
      <c r="A37" s="82"/>
      <c r="B37" s="82" t="s">
        <v>124</v>
      </c>
      <c r="C37" s="82"/>
      <c r="D37" s="82">
        <v>4</v>
      </c>
      <c r="E37" s="82" t="str">
        <f>Таблица3[[#Headers],[Описание упаковки]]</f>
        <v>Описание упаковки</v>
      </c>
      <c r="F37" s="83" t="e">
        <f>VLOOKUP($B37,#REF!,5,0)</f>
        <v>#REF!</v>
      </c>
      <c r="G37" s="82"/>
      <c r="H37" s="80"/>
      <c r="I37" s="82"/>
      <c r="J37" s="82"/>
      <c r="K37" s="82"/>
      <c r="L37" s="82"/>
      <c r="M37" s="141"/>
      <c r="N37" s="142"/>
      <c r="O37" s="80"/>
      <c r="P37" s="82"/>
      <c r="Q37" s="82"/>
      <c r="R37" s="82"/>
    </row>
    <row r="38" spans="1:18" s="85" customFormat="1" x14ac:dyDescent="0.25">
      <c r="A38" s="84">
        <v>10</v>
      </c>
      <c r="B38" s="84" t="s">
        <v>125</v>
      </c>
      <c r="C38" s="84" t="s">
        <v>125</v>
      </c>
      <c r="D38" s="84">
        <v>1</v>
      </c>
      <c r="E38" s="84" t="str">
        <f>Таблица3[[#Headers],[Лекарственная форма]]</f>
        <v>Лекарственная форма</v>
      </c>
      <c r="F38" s="84" t="e">
        <f>VLOOKUP($B38,#REF!,2,0)</f>
        <v>#REF!</v>
      </c>
      <c r="G38" s="84" t="e">
        <f>VLOOKUP($B38,#REF!,6,0)</f>
        <v>#REF!</v>
      </c>
      <c r="H38" s="84" t="e">
        <f>VLOOKUP($B38,#REF!,38,0)</f>
        <v>#REF!</v>
      </c>
      <c r="I38" s="84" t="e">
        <f t="shared" ref="I38" si="9">J38&amp;$J$1&amp;K38&amp;$K$1&amp;L38&amp;$L$1</f>
        <v>#REF!</v>
      </c>
      <c r="J38" s="84" t="e">
        <f>VLOOKUP($B38,#REF!,35,0)</f>
        <v>#REF!</v>
      </c>
      <c r="K38" s="84" t="e">
        <f>VLOOKUP($B38,#REF!,36,0)</f>
        <v>#REF!</v>
      </c>
      <c r="L38" s="84" t="e">
        <f>VLOOKUP($B38,#REF!,37,0)</f>
        <v>#REF!</v>
      </c>
      <c r="M38" s="86"/>
      <c r="N38" s="86"/>
      <c r="O38" s="86"/>
      <c r="P38" s="86"/>
      <c r="Q38" s="86"/>
      <c r="R38" s="86"/>
    </row>
    <row r="39" spans="1:18" s="85" customFormat="1" hidden="1" x14ac:dyDescent="0.25">
      <c r="A39" s="86"/>
      <c r="B39" s="86" t="s">
        <v>125</v>
      </c>
      <c r="C39" s="86"/>
      <c r="D39" s="86">
        <v>2</v>
      </c>
      <c r="E39" s="86" t="str">
        <f>Таблица3[[#Headers],[Дозировка]]</f>
        <v>Дозировка</v>
      </c>
      <c r="F39" s="86" t="e">
        <f>VLOOKUP($B39,#REF!,3,0)</f>
        <v>#REF!</v>
      </c>
      <c r="G39" s="86"/>
      <c r="H39" s="86"/>
      <c r="I39" s="86"/>
      <c r="J39" s="86"/>
      <c r="K39" s="86"/>
      <c r="L39" s="86"/>
      <c r="M39" s="86"/>
      <c r="N39" s="86"/>
      <c r="O39" s="86"/>
      <c r="P39" s="86"/>
      <c r="Q39" s="86"/>
      <c r="R39" s="86"/>
    </row>
    <row r="40" spans="1:18" s="85" customFormat="1" hidden="1" x14ac:dyDescent="0.25">
      <c r="A40" s="86"/>
      <c r="B40" s="86" t="s">
        <v>125</v>
      </c>
      <c r="C40" s="86"/>
      <c r="D40" s="86">
        <v>3</v>
      </c>
      <c r="E40" s="86" t="str">
        <f>Таблица3[[#Headers],[Первичная упаковка]]</f>
        <v>Первичная упаковка</v>
      </c>
      <c r="F40" s="86" t="e">
        <f>VLOOKUP($B40,#REF!,4,0)</f>
        <v>#REF!</v>
      </c>
      <c r="G40" s="86"/>
      <c r="H40" s="86"/>
      <c r="I40" s="86"/>
      <c r="J40" s="86"/>
      <c r="K40" s="86"/>
      <c r="L40" s="86"/>
      <c r="M40" s="86"/>
      <c r="N40" s="86"/>
      <c r="O40" s="86"/>
      <c r="P40" s="86"/>
      <c r="Q40" s="86"/>
      <c r="R40" s="86"/>
    </row>
    <row r="41" spans="1:18" s="85" customFormat="1" hidden="1" x14ac:dyDescent="0.25">
      <c r="A41" s="86"/>
      <c r="B41" s="86" t="s">
        <v>125</v>
      </c>
      <c r="C41" s="86"/>
      <c r="D41" s="86">
        <v>4</v>
      </c>
      <c r="E41" s="86" t="str">
        <f>Таблица3[[#Headers],[Описание упаковки]]</f>
        <v>Описание упаковки</v>
      </c>
      <c r="F41" s="86" t="e">
        <f>VLOOKUP($B41,#REF!,5,0)</f>
        <v>#REF!</v>
      </c>
      <c r="G41" s="86"/>
      <c r="H41" s="86"/>
      <c r="I41" s="86"/>
      <c r="J41" s="86"/>
      <c r="K41" s="86"/>
      <c r="L41" s="86"/>
      <c r="M41" s="86"/>
      <c r="N41" s="86"/>
      <c r="O41" s="86"/>
      <c r="P41" s="86"/>
      <c r="Q41" s="86"/>
      <c r="R41" s="86"/>
    </row>
    <row r="42" spans="1:18" x14ac:dyDescent="0.25">
      <c r="A42" s="80">
        <v>11</v>
      </c>
      <c r="B42" s="80" t="s">
        <v>126</v>
      </c>
      <c r="C42" s="80" t="s">
        <v>126</v>
      </c>
      <c r="D42" s="80">
        <v>1</v>
      </c>
      <c r="E42" s="80" t="str">
        <f>Таблица3[[#Headers],[Лекарственная форма]]</f>
        <v>Лекарственная форма</v>
      </c>
      <c r="F42" s="81" t="e">
        <f>VLOOKUP($B42,#REF!,2,0)</f>
        <v>#REF!</v>
      </c>
      <c r="G42" s="80" t="e">
        <f>VLOOKUP($B42,#REF!,6,0)</f>
        <v>#REF!</v>
      </c>
      <c r="H42" s="80" t="e">
        <f>VLOOKUP($B42,'Анализ рынка'!$G:$AL,35,0)</f>
        <v>#REF!</v>
      </c>
      <c r="I42" s="80" t="e">
        <f t="shared" ref="I42" si="10">J42&amp;$J$1&amp;K42&amp;$K$1&amp;L42&amp;$L$1</f>
        <v>#REF!</v>
      </c>
      <c r="J42" s="80" t="e">
        <f>VLOOKUP($B42,#REF!,35,0)</f>
        <v>#REF!</v>
      </c>
      <c r="K42" s="80" t="e">
        <f>VLOOKUP($B42,#REF!,36,0)</f>
        <v>#REF!</v>
      </c>
      <c r="L42" s="80" t="e">
        <f>VLOOKUP($B42,#REF!,37,0)</f>
        <v>#REF!</v>
      </c>
      <c r="M42" s="141" t="e">
        <f>VLOOKUP($C42,ИТОГ!$D$8:$M$45,4,0)</f>
        <v>#N/A</v>
      </c>
      <c r="N42" s="142" t="e">
        <f t="shared" si="2"/>
        <v>#N/A</v>
      </c>
      <c r="O42" s="80" t="e">
        <f>VLOOKUP($C42,ИТОГ!$D$8:$M$45,9,0)</f>
        <v>#N/A</v>
      </c>
      <c r="P42" s="82"/>
      <c r="Q42" s="82"/>
      <c r="R42" s="82"/>
    </row>
    <row r="43" spans="1:18" hidden="1" x14ac:dyDescent="0.25">
      <c r="A43" s="82"/>
      <c r="B43" s="82" t="s">
        <v>126</v>
      </c>
      <c r="C43" s="82"/>
      <c r="D43" s="82">
        <v>2</v>
      </c>
      <c r="E43" s="82" t="str">
        <f>Таблица3[[#Headers],[Дозировка]]</f>
        <v>Дозировка</v>
      </c>
      <c r="F43" s="82" t="e">
        <f>VLOOKUP($B43,#REF!,3,0)</f>
        <v>#REF!</v>
      </c>
      <c r="G43" s="82"/>
      <c r="H43" s="82"/>
      <c r="I43" s="82"/>
      <c r="J43" s="82"/>
      <c r="K43" s="82"/>
      <c r="L43" s="82"/>
      <c r="M43" s="82"/>
      <c r="N43" s="82"/>
      <c r="O43" s="80"/>
      <c r="P43" s="82"/>
      <c r="Q43" s="82"/>
      <c r="R43" s="82"/>
    </row>
    <row r="44" spans="1:18" hidden="1" x14ac:dyDescent="0.25">
      <c r="A44" s="82"/>
      <c r="B44" s="82" t="s">
        <v>126</v>
      </c>
      <c r="C44" s="82"/>
      <c r="D44" s="82">
        <v>3</v>
      </c>
      <c r="E44" s="82" t="str">
        <f>Таблица3[[#Headers],[Первичная упаковка]]</f>
        <v>Первичная упаковка</v>
      </c>
      <c r="F44" s="83" t="e">
        <f>VLOOKUP($B44,#REF!,4,0)</f>
        <v>#REF!</v>
      </c>
      <c r="G44" s="82"/>
      <c r="H44" s="80"/>
      <c r="I44" s="82"/>
      <c r="J44" s="82"/>
      <c r="K44" s="82"/>
      <c r="L44" s="82"/>
      <c r="M44" s="141"/>
      <c r="N44" s="142"/>
      <c r="O44" s="80"/>
      <c r="P44" s="82"/>
      <c r="Q44" s="82"/>
      <c r="R44" s="82"/>
    </row>
    <row r="45" spans="1:18" hidden="1" x14ac:dyDescent="0.25">
      <c r="A45" s="82"/>
      <c r="B45" s="82" t="s">
        <v>126</v>
      </c>
      <c r="C45" s="82"/>
      <c r="D45" s="82">
        <v>4</v>
      </c>
      <c r="E45" s="82" t="str">
        <f>Таблица3[[#Headers],[Описание упаковки]]</f>
        <v>Описание упаковки</v>
      </c>
      <c r="F45" s="83" t="e">
        <f>VLOOKUP($B45,#REF!,5,0)</f>
        <v>#REF!</v>
      </c>
      <c r="G45" s="82"/>
      <c r="H45" s="80"/>
      <c r="I45" s="82"/>
      <c r="J45" s="82"/>
      <c r="K45" s="82"/>
      <c r="L45" s="82"/>
      <c r="M45" s="141"/>
      <c r="N45" s="142"/>
      <c r="O45" s="80"/>
      <c r="P45" s="82"/>
      <c r="Q45" s="82"/>
      <c r="R45" s="82"/>
    </row>
    <row r="46" spans="1:18" s="85" customFormat="1" x14ac:dyDescent="0.25">
      <c r="A46" s="84">
        <v>12</v>
      </c>
      <c r="B46" s="84" t="s">
        <v>128</v>
      </c>
      <c r="C46" s="84" t="s">
        <v>128</v>
      </c>
      <c r="D46" s="84">
        <v>1</v>
      </c>
      <c r="E46" s="84" t="str">
        <f>Таблица3[[#Headers],[Лекарственная форма]]</f>
        <v>Лекарственная форма</v>
      </c>
      <c r="F46" s="84" t="e">
        <f>VLOOKUP($B46,#REF!,2,0)</f>
        <v>#REF!</v>
      </c>
      <c r="G46" s="84" t="e">
        <f>VLOOKUP($B46,#REF!,6,0)</f>
        <v>#REF!</v>
      </c>
      <c r="H46" s="84" t="e">
        <f>VLOOKUP($B46,#REF!,38,0)</f>
        <v>#REF!</v>
      </c>
      <c r="I46" s="84" t="e">
        <f t="shared" ref="I46" si="11">J46&amp;$J$1&amp;K46&amp;$K$1&amp;L46&amp;$L$1</f>
        <v>#REF!</v>
      </c>
      <c r="J46" s="84" t="e">
        <f>VLOOKUP($B46,#REF!,35,0)</f>
        <v>#REF!</v>
      </c>
      <c r="K46" s="84" t="e">
        <f>VLOOKUP($B46,#REF!,36,0)</f>
        <v>#REF!</v>
      </c>
      <c r="L46" s="84" t="e">
        <f>VLOOKUP($B46,#REF!,37,0)</f>
        <v>#REF!</v>
      </c>
      <c r="M46" s="86"/>
      <c r="N46" s="86"/>
      <c r="O46" s="86"/>
      <c r="P46" s="86"/>
      <c r="Q46" s="86"/>
      <c r="R46" s="86"/>
    </row>
    <row r="47" spans="1:18" s="85" customFormat="1" hidden="1" x14ac:dyDescent="0.25">
      <c r="A47" s="86"/>
      <c r="B47" s="86" t="s">
        <v>128</v>
      </c>
      <c r="C47" s="86"/>
      <c r="D47" s="86">
        <v>2</v>
      </c>
      <c r="E47" s="86" t="str">
        <f>Таблица3[[#Headers],[Дозировка]]</f>
        <v>Дозировка</v>
      </c>
      <c r="F47" s="86" t="e">
        <f>VLOOKUP($B47,#REF!,3,0)</f>
        <v>#REF!</v>
      </c>
      <c r="G47" s="86"/>
      <c r="H47" s="86"/>
      <c r="I47" s="86"/>
      <c r="J47" s="86"/>
      <c r="K47" s="86"/>
      <c r="L47" s="86"/>
      <c r="M47" s="86"/>
      <c r="N47" s="86"/>
      <c r="O47" s="86"/>
      <c r="P47" s="86"/>
      <c r="Q47" s="86"/>
      <c r="R47" s="86"/>
    </row>
    <row r="48" spans="1:18" s="85" customFormat="1" hidden="1" x14ac:dyDescent="0.25">
      <c r="A48" s="86"/>
      <c r="B48" s="86" t="s">
        <v>128</v>
      </c>
      <c r="C48" s="86"/>
      <c r="D48" s="86">
        <v>3</v>
      </c>
      <c r="E48" s="86" t="str">
        <f>Таблица3[[#Headers],[Первичная упаковка]]</f>
        <v>Первичная упаковка</v>
      </c>
      <c r="F48" s="86" t="e">
        <f>VLOOKUP($B48,#REF!,4,0)</f>
        <v>#REF!</v>
      </c>
      <c r="G48" s="86"/>
      <c r="H48" s="86"/>
      <c r="I48" s="86"/>
      <c r="J48" s="86"/>
      <c r="K48" s="86"/>
      <c r="L48" s="86"/>
      <c r="M48" s="86"/>
      <c r="N48" s="86"/>
      <c r="O48" s="86"/>
      <c r="P48" s="86"/>
      <c r="Q48" s="86"/>
      <c r="R48" s="86"/>
    </row>
    <row r="49" spans="1:18" s="85" customFormat="1" hidden="1" x14ac:dyDescent="0.25">
      <c r="A49" s="86"/>
      <c r="B49" s="86" t="s">
        <v>128</v>
      </c>
      <c r="C49" s="86"/>
      <c r="D49" s="86">
        <v>4</v>
      </c>
      <c r="E49" s="86" t="str">
        <f>Таблица3[[#Headers],[Описание упаковки]]</f>
        <v>Описание упаковки</v>
      </c>
      <c r="F49" s="86" t="e">
        <f>VLOOKUP($B49,#REF!,5,0)</f>
        <v>#REF!</v>
      </c>
      <c r="G49" s="86"/>
      <c r="H49" s="86"/>
      <c r="I49" s="86"/>
      <c r="J49" s="86"/>
      <c r="K49" s="86"/>
      <c r="L49" s="86"/>
      <c r="M49" s="86"/>
      <c r="N49" s="86"/>
      <c r="O49" s="86"/>
      <c r="P49" s="86"/>
      <c r="Q49" s="86"/>
      <c r="R49" s="86"/>
    </row>
    <row r="50" spans="1:18" s="85" customFormat="1" x14ac:dyDescent="0.25">
      <c r="A50" s="84">
        <v>13</v>
      </c>
      <c r="B50" s="84" t="s">
        <v>169</v>
      </c>
      <c r="C50" s="84" t="s">
        <v>169</v>
      </c>
      <c r="D50" s="84">
        <v>1</v>
      </c>
      <c r="E50" s="84" t="str">
        <f>Таблица3[[#Headers],[Лекарственная форма]]</f>
        <v>Лекарственная форма</v>
      </c>
      <c r="F50" s="84" t="e">
        <f>VLOOKUP($B50,#REF!,2,0)</f>
        <v>#REF!</v>
      </c>
      <c r="G50" s="84" t="e">
        <f>VLOOKUP($B50,#REF!,6,0)</f>
        <v>#REF!</v>
      </c>
      <c r="H50" s="84" t="e">
        <f>VLOOKUP($B50,#REF!,38,0)</f>
        <v>#REF!</v>
      </c>
      <c r="I50" s="84" t="e">
        <f t="shared" ref="I50" si="12">J50&amp;$J$1&amp;K50&amp;$K$1&amp;L50&amp;$L$1</f>
        <v>#REF!</v>
      </c>
      <c r="J50" s="84" t="e">
        <f>VLOOKUP($B50,#REF!,35,0)</f>
        <v>#REF!</v>
      </c>
      <c r="K50" s="84" t="e">
        <f>VLOOKUP($B50,#REF!,36,0)</f>
        <v>#REF!</v>
      </c>
      <c r="L50" s="84" t="e">
        <f>VLOOKUP($B50,#REF!,37,0)</f>
        <v>#REF!</v>
      </c>
      <c r="M50" s="86"/>
      <c r="N50" s="86"/>
      <c r="O50" s="86"/>
      <c r="P50" s="86"/>
      <c r="Q50" s="86"/>
      <c r="R50" s="86"/>
    </row>
    <row r="51" spans="1:18" s="85" customFormat="1" hidden="1" x14ac:dyDescent="0.25">
      <c r="A51" s="86"/>
      <c r="B51" s="86" t="s">
        <v>169</v>
      </c>
      <c r="C51" s="86"/>
      <c r="D51" s="86">
        <v>2</v>
      </c>
      <c r="E51" s="86" t="str">
        <f>Таблица3[[#Headers],[Дозировка]]</f>
        <v>Дозировка</v>
      </c>
      <c r="F51" s="86" t="e">
        <f>VLOOKUP($B51,#REF!,3,0)</f>
        <v>#REF!</v>
      </c>
      <c r="G51" s="86"/>
      <c r="H51" s="86"/>
      <c r="I51" s="86"/>
      <c r="J51" s="86"/>
      <c r="K51" s="86"/>
      <c r="L51" s="86"/>
      <c r="M51" s="86"/>
      <c r="N51" s="86"/>
      <c r="O51" s="86"/>
      <c r="P51" s="86"/>
      <c r="Q51" s="86"/>
      <c r="R51" s="86"/>
    </row>
    <row r="52" spans="1:18" s="85" customFormat="1" hidden="1" x14ac:dyDescent="0.25">
      <c r="A52" s="86"/>
      <c r="B52" s="86" t="s">
        <v>169</v>
      </c>
      <c r="C52" s="86"/>
      <c r="D52" s="86">
        <v>3</v>
      </c>
      <c r="E52" s="86" t="str">
        <f>Таблица3[[#Headers],[Первичная упаковка]]</f>
        <v>Первичная упаковка</v>
      </c>
      <c r="F52" s="86" t="e">
        <f>VLOOKUP($B52,#REF!,4,0)</f>
        <v>#REF!</v>
      </c>
      <c r="G52" s="86"/>
      <c r="H52" s="86"/>
      <c r="I52" s="86"/>
      <c r="J52" s="86"/>
      <c r="K52" s="86"/>
      <c r="L52" s="86"/>
      <c r="M52" s="86"/>
      <c r="N52" s="86"/>
      <c r="O52" s="86"/>
      <c r="P52" s="86"/>
      <c r="Q52" s="86"/>
      <c r="R52" s="86"/>
    </row>
    <row r="53" spans="1:18" s="85" customFormat="1" hidden="1" x14ac:dyDescent="0.25">
      <c r="A53" s="86"/>
      <c r="B53" s="86" t="s">
        <v>169</v>
      </c>
      <c r="C53" s="86"/>
      <c r="D53" s="86">
        <v>4</v>
      </c>
      <c r="E53" s="86" t="str">
        <f>Таблица3[[#Headers],[Описание упаковки]]</f>
        <v>Описание упаковки</v>
      </c>
      <c r="F53" s="86" t="e">
        <f>VLOOKUP($B53,#REF!,5,0)</f>
        <v>#REF!</v>
      </c>
      <c r="G53" s="86"/>
      <c r="H53" s="86"/>
      <c r="I53" s="86"/>
      <c r="J53" s="86"/>
      <c r="K53" s="86"/>
      <c r="L53" s="86"/>
      <c r="M53" s="86"/>
      <c r="N53" s="86"/>
      <c r="O53" s="86"/>
      <c r="P53" s="86"/>
      <c r="Q53" s="86"/>
      <c r="R53" s="86"/>
    </row>
    <row r="54" spans="1:18" x14ac:dyDescent="0.25">
      <c r="A54" s="80">
        <v>14</v>
      </c>
      <c r="B54" s="80" t="s">
        <v>129</v>
      </c>
      <c r="C54" s="80" t="s">
        <v>129</v>
      </c>
      <c r="D54" s="80">
        <v>1</v>
      </c>
      <c r="E54" s="80" t="str">
        <f>Таблица3[[#Headers],[Лекарственная форма]]</f>
        <v>Лекарственная форма</v>
      </c>
      <c r="F54" s="81" t="e">
        <f>VLOOKUP($B54,#REF!,2,0)</f>
        <v>#REF!</v>
      </c>
      <c r="G54" s="80" t="e">
        <f>VLOOKUP($B54,#REF!,6,0)</f>
        <v>#REF!</v>
      </c>
      <c r="H54" s="80" t="e">
        <f>VLOOKUP($B54,'Анализ рынка'!$G:$AL,35,0)</f>
        <v>#N/A</v>
      </c>
      <c r="I54" s="80" t="e">
        <f t="shared" ref="I54" si="13">J54&amp;$J$1&amp;K54&amp;$K$1&amp;L54&amp;$L$1</f>
        <v>#REF!</v>
      </c>
      <c r="J54" s="80" t="e">
        <f>VLOOKUP($B54,#REF!,35,0)</f>
        <v>#REF!</v>
      </c>
      <c r="K54" s="80" t="e">
        <f>VLOOKUP($B54,#REF!,36,0)</f>
        <v>#REF!</v>
      </c>
      <c r="L54" s="80" t="e">
        <f>VLOOKUP($B54,#REF!,37,0)</f>
        <v>#REF!</v>
      </c>
      <c r="M54" s="141" t="e">
        <f>VLOOKUP($C54,ИТОГ!$D$8:$M$45,4,0)</f>
        <v>#N/A</v>
      </c>
      <c r="N54" s="142" t="e">
        <f t="shared" si="2"/>
        <v>#N/A</v>
      </c>
      <c r="O54" s="80" t="e">
        <f>VLOOKUP($C54,ИТОГ!$D$8:$M$45,9,0)</f>
        <v>#N/A</v>
      </c>
      <c r="P54" s="82"/>
      <c r="Q54" s="82"/>
      <c r="R54" s="82"/>
    </row>
    <row r="55" spans="1:18" hidden="1" x14ac:dyDescent="0.25">
      <c r="A55" s="82"/>
      <c r="B55" s="82" t="s">
        <v>129</v>
      </c>
      <c r="C55" s="82"/>
      <c r="D55" s="82">
        <v>2</v>
      </c>
      <c r="E55" s="82" t="str">
        <f>Таблица3[[#Headers],[Дозировка]]</f>
        <v>Дозировка</v>
      </c>
      <c r="F55" s="82" t="e">
        <f>VLOOKUP($B55,#REF!,3,0)</f>
        <v>#REF!</v>
      </c>
      <c r="G55" s="82"/>
      <c r="H55" s="82"/>
      <c r="I55" s="82"/>
      <c r="J55" s="82"/>
      <c r="K55" s="82"/>
      <c r="L55" s="82"/>
      <c r="M55" s="82"/>
      <c r="N55" s="82"/>
      <c r="O55" s="80"/>
      <c r="P55" s="82"/>
      <c r="Q55" s="82"/>
      <c r="R55" s="82"/>
    </row>
    <row r="56" spans="1:18" hidden="1" x14ac:dyDescent="0.25">
      <c r="A56" s="82"/>
      <c r="B56" s="82" t="s">
        <v>129</v>
      </c>
      <c r="C56" s="82"/>
      <c r="D56" s="82">
        <v>3</v>
      </c>
      <c r="E56" s="82" t="str">
        <f>Таблица3[[#Headers],[Первичная упаковка]]</f>
        <v>Первичная упаковка</v>
      </c>
      <c r="F56" s="83" t="e">
        <f>VLOOKUP($B56,#REF!,4,0)</f>
        <v>#REF!</v>
      </c>
      <c r="G56" s="82"/>
      <c r="H56" s="80"/>
      <c r="I56" s="82"/>
      <c r="J56" s="82"/>
      <c r="K56" s="82"/>
      <c r="L56" s="82"/>
      <c r="M56" s="141"/>
      <c r="N56" s="142"/>
      <c r="O56" s="80"/>
      <c r="P56" s="82"/>
      <c r="Q56" s="82"/>
      <c r="R56" s="82"/>
    </row>
    <row r="57" spans="1:18" hidden="1" x14ac:dyDescent="0.25">
      <c r="A57" s="82"/>
      <c r="B57" s="82" t="s">
        <v>129</v>
      </c>
      <c r="C57" s="82"/>
      <c r="D57" s="82">
        <v>4</v>
      </c>
      <c r="E57" s="82" t="str">
        <f>Таблица3[[#Headers],[Описание упаковки]]</f>
        <v>Описание упаковки</v>
      </c>
      <c r="F57" s="83" t="e">
        <f>VLOOKUP($B57,#REF!,5,0)</f>
        <v>#REF!</v>
      </c>
      <c r="G57" s="82"/>
      <c r="H57" s="80"/>
      <c r="I57" s="82"/>
      <c r="J57" s="82"/>
      <c r="K57" s="82"/>
      <c r="L57" s="82"/>
      <c r="M57" s="141"/>
      <c r="N57" s="142"/>
      <c r="O57" s="80"/>
      <c r="P57" s="82"/>
      <c r="Q57" s="82"/>
      <c r="R57" s="82"/>
    </row>
    <row r="58" spans="1:18" x14ac:dyDescent="0.25">
      <c r="A58" s="80">
        <v>15</v>
      </c>
      <c r="B58" s="80" t="s">
        <v>130</v>
      </c>
      <c r="C58" s="80" t="s">
        <v>130</v>
      </c>
      <c r="D58" s="80">
        <v>1</v>
      </c>
      <c r="E58" s="80" t="str">
        <f>Таблица3[[#Headers],[Лекарственная форма]]</f>
        <v>Лекарственная форма</v>
      </c>
      <c r="F58" s="81" t="e">
        <f>VLOOKUP($B58,#REF!,2,0)</f>
        <v>#REF!</v>
      </c>
      <c r="G58" s="80" t="e">
        <f>VLOOKUP($B58,#REF!,6,0)</f>
        <v>#REF!</v>
      </c>
      <c r="H58" s="80" t="e">
        <f>VLOOKUP($B58,'Анализ рынка'!$G:$AL,35,0)</f>
        <v>#N/A</v>
      </c>
      <c r="I58" s="80" t="e">
        <f t="shared" ref="I58" si="14">J58&amp;$J$1&amp;K58&amp;$K$1&amp;L58&amp;$L$1</f>
        <v>#REF!</v>
      </c>
      <c r="J58" s="80" t="e">
        <f>VLOOKUP($B58,#REF!,35,0)</f>
        <v>#REF!</v>
      </c>
      <c r="K58" s="80" t="e">
        <f>VLOOKUP($B58,#REF!,36,0)</f>
        <v>#REF!</v>
      </c>
      <c r="L58" s="80" t="e">
        <f>VLOOKUP($B58,#REF!,37,0)</f>
        <v>#REF!</v>
      </c>
      <c r="M58" s="141" t="e">
        <f>VLOOKUP($C58,ИТОГ!$D$8:$M$45,4,0)</f>
        <v>#N/A</v>
      </c>
      <c r="N58" s="142" t="e">
        <f t="shared" si="2"/>
        <v>#N/A</v>
      </c>
      <c r="O58" s="80" t="e">
        <f>VLOOKUP($C58,ИТОГ!$D$8:$M$45,9,0)</f>
        <v>#N/A</v>
      </c>
      <c r="P58" s="82"/>
      <c r="Q58" s="82"/>
      <c r="R58" s="82"/>
    </row>
    <row r="59" spans="1:18" hidden="1" x14ac:dyDescent="0.25">
      <c r="A59" s="82"/>
      <c r="B59" s="82" t="s">
        <v>130</v>
      </c>
      <c r="C59" s="82"/>
      <c r="D59" s="82">
        <v>2</v>
      </c>
      <c r="E59" s="82" t="str">
        <f>Таблица3[[#Headers],[Дозировка]]</f>
        <v>Дозировка</v>
      </c>
      <c r="F59" s="83" t="e">
        <f>VLOOKUP($B59,#REF!,3,0)</f>
        <v>#REF!</v>
      </c>
      <c r="G59" s="82"/>
      <c r="H59" s="80"/>
      <c r="I59" s="82"/>
      <c r="J59" s="82"/>
      <c r="K59" s="82"/>
      <c r="L59" s="82"/>
      <c r="M59" s="82"/>
      <c r="N59" s="82"/>
      <c r="O59" s="80"/>
      <c r="P59" s="82"/>
      <c r="Q59" s="82"/>
      <c r="R59" s="82"/>
    </row>
    <row r="60" spans="1:18" hidden="1" x14ac:dyDescent="0.25">
      <c r="A60" s="82"/>
      <c r="B60" s="82" t="s">
        <v>130</v>
      </c>
      <c r="C60" s="82"/>
      <c r="D60" s="82">
        <v>3</v>
      </c>
      <c r="E60" s="82" t="str">
        <f>Таблица3[[#Headers],[Первичная упаковка]]</f>
        <v>Первичная упаковка</v>
      </c>
      <c r="F60" s="82" t="e">
        <f>VLOOKUP($B60,#REF!,4,0)</f>
        <v>#REF!</v>
      </c>
      <c r="G60" s="82"/>
      <c r="H60" s="82"/>
      <c r="I60" s="82"/>
      <c r="J60" s="82"/>
      <c r="K60" s="82"/>
      <c r="L60" s="82"/>
      <c r="M60" s="82"/>
      <c r="N60" s="82"/>
      <c r="O60" s="80"/>
      <c r="P60" s="82"/>
      <c r="Q60" s="82"/>
      <c r="R60" s="82"/>
    </row>
    <row r="61" spans="1:18" hidden="1" x14ac:dyDescent="0.25">
      <c r="A61" s="82"/>
      <c r="B61" s="82" t="s">
        <v>130</v>
      </c>
      <c r="C61" s="82"/>
      <c r="D61" s="82">
        <v>4</v>
      </c>
      <c r="E61" s="82" t="str">
        <f>Таблица3[[#Headers],[Описание упаковки]]</f>
        <v>Описание упаковки</v>
      </c>
      <c r="F61" s="83" t="e">
        <f>VLOOKUP($B61,#REF!,5,0)</f>
        <v>#REF!</v>
      </c>
      <c r="G61" s="82"/>
      <c r="H61" s="80"/>
      <c r="I61" s="82"/>
      <c r="J61" s="82"/>
      <c r="K61" s="82"/>
      <c r="L61" s="82"/>
      <c r="M61" s="141"/>
      <c r="N61" s="142"/>
      <c r="O61" s="80"/>
      <c r="P61" s="82"/>
      <c r="Q61" s="82"/>
      <c r="R61" s="82"/>
    </row>
    <row r="62" spans="1:18" x14ac:dyDescent="0.25">
      <c r="A62" s="80">
        <v>16</v>
      </c>
      <c r="B62" s="80" t="s">
        <v>131</v>
      </c>
      <c r="C62" s="80" t="s">
        <v>131</v>
      </c>
      <c r="D62" s="80">
        <v>1</v>
      </c>
      <c r="E62" s="80" t="str">
        <f>Таблица3[[#Headers],[Лекарственная форма]]</f>
        <v>Лекарственная форма</v>
      </c>
      <c r="F62" s="81" t="e">
        <f>VLOOKUP($B62,#REF!,2,0)</f>
        <v>#REF!</v>
      </c>
      <c r="G62" s="80" t="e">
        <f>VLOOKUP($B62,#REF!,6,0)</f>
        <v>#REF!</v>
      </c>
      <c r="H62" s="80" t="e">
        <f>VLOOKUP($B62,'Анализ рынка'!$G:$AL,35,0)</f>
        <v>#REF!</v>
      </c>
      <c r="I62" s="80" t="e">
        <f t="shared" ref="I62" si="15">J62&amp;$J$1&amp;K62&amp;$K$1&amp;L62&amp;$L$1</f>
        <v>#REF!</v>
      </c>
      <c r="J62" s="80" t="e">
        <f>VLOOKUP($B62,#REF!,35,0)</f>
        <v>#REF!</v>
      </c>
      <c r="K62" s="80" t="e">
        <f>VLOOKUP($B62,#REF!,36,0)</f>
        <v>#REF!</v>
      </c>
      <c r="L62" s="80" t="e">
        <f>VLOOKUP($B62,#REF!,37,0)</f>
        <v>#REF!</v>
      </c>
      <c r="M62" s="141" t="e">
        <f>VLOOKUP($C62,ИТОГ!$D$8:$M$45,4,0)</f>
        <v>#N/A</v>
      </c>
      <c r="N62" s="142" t="e">
        <f t="shared" si="2"/>
        <v>#N/A</v>
      </c>
      <c r="O62" s="80" t="e">
        <f>VLOOKUP($C62,ИТОГ!$D$8:$M$45,9,0)</f>
        <v>#N/A</v>
      </c>
      <c r="P62" s="82"/>
      <c r="Q62" s="82"/>
      <c r="R62" s="82"/>
    </row>
    <row r="63" spans="1:18" hidden="1" x14ac:dyDescent="0.25">
      <c r="A63" s="82"/>
      <c r="B63" s="82" t="s">
        <v>131</v>
      </c>
      <c r="C63" s="82"/>
      <c r="D63" s="82">
        <v>2</v>
      </c>
      <c r="E63" s="82" t="str">
        <f>Таблица3[[#Headers],[Дозировка]]</f>
        <v>Дозировка</v>
      </c>
      <c r="F63" s="83" t="e">
        <f>VLOOKUP($B63,#REF!,3,0)</f>
        <v>#REF!</v>
      </c>
      <c r="G63" s="82"/>
      <c r="H63" s="80"/>
      <c r="I63" s="82"/>
      <c r="J63" s="82"/>
      <c r="K63" s="82"/>
      <c r="L63" s="82"/>
      <c r="M63" s="141"/>
      <c r="N63" s="142"/>
      <c r="O63" s="80"/>
      <c r="P63" s="82"/>
      <c r="Q63" s="82"/>
      <c r="R63" s="82"/>
    </row>
    <row r="64" spans="1:18" hidden="1" x14ac:dyDescent="0.25">
      <c r="A64" s="82"/>
      <c r="B64" s="82" t="s">
        <v>131</v>
      </c>
      <c r="C64" s="82"/>
      <c r="D64" s="82">
        <v>3</v>
      </c>
      <c r="E64" s="82" t="str">
        <f>Таблица3[[#Headers],[Первичная упаковка]]</f>
        <v>Первичная упаковка</v>
      </c>
      <c r="F64" s="82" t="e">
        <f>VLOOKUP($B64,#REF!,4,0)</f>
        <v>#REF!</v>
      </c>
      <c r="G64" s="82"/>
      <c r="H64" s="82"/>
      <c r="I64" s="82"/>
      <c r="J64" s="82"/>
      <c r="K64" s="82"/>
      <c r="L64" s="82"/>
      <c r="M64" s="82"/>
      <c r="N64" s="82"/>
      <c r="O64" s="80"/>
      <c r="P64" s="82"/>
      <c r="Q64" s="82"/>
      <c r="R64" s="82"/>
    </row>
    <row r="65" spans="1:18" hidden="1" x14ac:dyDescent="0.25">
      <c r="A65" s="82"/>
      <c r="B65" s="82" t="s">
        <v>131</v>
      </c>
      <c r="C65" s="82"/>
      <c r="D65" s="82">
        <v>4</v>
      </c>
      <c r="E65" s="82" t="str">
        <f>Таблица3[[#Headers],[Описание упаковки]]</f>
        <v>Описание упаковки</v>
      </c>
      <c r="F65" s="83" t="e">
        <f>VLOOKUP($B65,#REF!,5,0)</f>
        <v>#REF!</v>
      </c>
      <c r="G65" s="82"/>
      <c r="H65" s="80"/>
      <c r="I65" s="82"/>
      <c r="J65" s="82"/>
      <c r="K65" s="82"/>
      <c r="L65" s="82"/>
      <c r="M65" s="141"/>
      <c r="N65" s="142"/>
      <c r="O65" s="80"/>
      <c r="P65" s="82"/>
      <c r="Q65" s="82"/>
      <c r="R65" s="82"/>
    </row>
    <row r="66" spans="1:18" x14ac:dyDescent="0.25">
      <c r="A66" s="80">
        <v>17</v>
      </c>
      <c r="B66" s="80" t="s">
        <v>132</v>
      </c>
      <c r="C66" s="80" t="s">
        <v>132</v>
      </c>
      <c r="D66" s="80">
        <v>1</v>
      </c>
      <c r="E66" s="80" t="str">
        <f>Таблица3[[#Headers],[Лекарственная форма]]</f>
        <v>Лекарственная форма</v>
      </c>
      <c r="F66" s="81" t="e">
        <f>VLOOKUP($B66,#REF!,2,0)</f>
        <v>#REF!</v>
      </c>
      <c r="G66" s="80" t="e">
        <f>VLOOKUP($B66,#REF!,6,0)</f>
        <v>#REF!</v>
      </c>
      <c r="H66" s="80" t="e">
        <f>VLOOKUP($B66,'Анализ рынка'!$G:$AL,35,0)</f>
        <v>#N/A</v>
      </c>
      <c r="I66" s="80" t="e">
        <f t="shared" ref="I66" si="16">J66&amp;$J$1&amp;K66&amp;$K$1&amp;L66&amp;$L$1</f>
        <v>#REF!</v>
      </c>
      <c r="J66" s="80" t="e">
        <f>VLOOKUP($B66,#REF!,35,0)</f>
        <v>#REF!</v>
      </c>
      <c r="K66" s="80" t="e">
        <f>VLOOKUP($B66,#REF!,36,0)</f>
        <v>#REF!</v>
      </c>
      <c r="L66" s="80" t="e">
        <f>VLOOKUP($B66,#REF!,37,0)</f>
        <v>#REF!</v>
      </c>
      <c r="M66" s="141" t="e">
        <f>VLOOKUP($C66,ИТОГ!$D$8:$M$45,4,0)</f>
        <v>#N/A</v>
      </c>
      <c r="N66" s="142" t="e">
        <f t="shared" si="2"/>
        <v>#N/A</v>
      </c>
      <c r="O66" s="80" t="e">
        <f>VLOOKUP($C66,ИТОГ!$D$8:$M$45,9,0)</f>
        <v>#N/A</v>
      </c>
      <c r="P66" s="82"/>
      <c r="Q66" s="82"/>
      <c r="R66" s="82"/>
    </row>
    <row r="67" spans="1:18" hidden="1" x14ac:dyDescent="0.25">
      <c r="A67" s="82"/>
      <c r="B67" s="82" t="s">
        <v>132</v>
      </c>
      <c r="C67" s="82"/>
      <c r="D67" s="82">
        <v>2</v>
      </c>
      <c r="E67" s="82" t="str">
        <f>Таблица3[[#Headers],[Дозировка]]</f>
        <v>Дозировка</v>
      </c>
      <c r="F67" s="83" t="e">
        <f>VLOOKUP($B67,#REF!,3,0)</f>
        <v>#REF!</v>
      </c>
      <c r="G67" s="82"/>
      <c r="H67" s="80"/>
      <c r="I67" s="82"/>
      <c r="J67" s="82"/>
      <c r="K67" s="82"/>
      <c r="L67" s="82"/>
      <c r="M67" s="141"/>
      <c r="N67" s="142"/>
      <c r="O67" s="80"/>
      <c r="P67" s="82"/>
      <c r="Q67" s="82"/>
      <c r="R67" s="82"/>
    </row>
    <row r="68" spans="1:18" hidden="1" x14ac:dyDescent="0.25">
      <c r="A68" s="82"/>
      <c r="B68" s="82" t="s">
        <v>132</v>
      </c>
      <c r="C68" s="82"/>
      <c r="D68" s="82">
        <v>3</v>
      </c>
      <c r="E68" s="82" t="str">
        <f>Таблица3[[#Headers],[Первичная упаковка]]</f>
        <v>Первичная упаковка</v>
      </c>
      <c r="F68" s="82" t="e">
        <f>VLOOKUP($B68,#REF!,4,0)</f>
        <v>#REF!</v>
      </c>
      <c r="G68" s="82"/>
      <c r="H68" s="82"/>
      <c r="I68" s="82"/>
      <c r="J68" s="82"/>
      <c r="K68" s="82"/>
      <c r="L68" s="82"/>
      <c r="M68" s="82"/>
      <c r="N68" s="82"/>
      <c r="O68" s="80"/>
      <c r="P68" s="82"/>
      <c r="Q68" s="82"/>
      <c r="R68" s="82"/>
    </row>
    <row r="69" spans="1:18" hidden="1" x14ac:dyDescent="0.25">
      <c r="A69" s="82"/>
      <c r="B69" s="82" t="s">
        <v>132</v>
      </c>
      <c r="C69" s="82"/>
      <c r="D69" s="82">
        <v>4</v>
      </c>
      <c r="E69" s="82" t="str">
        <f>Таблица3[[#Headers],[Описание упаковки]]</f>
        <v>Описание упаковки</v>
      </c>
      <c r="F69" s="83" t="e">
        <f>VLOOKUP($B69,#REF!,5,0)</f>
        <v>#REF!</v>
      </c>
      <c r="G69" s="82"/>
      <c r="H69" s="80"/>
      <c r="I69" s="82"/>
      <c r="J69" s="82"/>
      <c r="K69" s="82"/>
      <c r="L69" s="82"/>
      <c r="M69" s="141"/>
      <c r="N69" s="142"/>
      <c r="O69" s="80"/>
      <c r="P69" s="82"/>
      <c r="Q69" s="82"/>
      <c r="R69" s="82"/>
    </row>
    <row r="70" spans="1:18" x14ac:dyDescent="0.25">
      <c r="A70" s="80">
        <v>18</v>
      </c>
      <c r="B70" s="80" t="s">
        <v>133</v>
      </c>
      <c r="C70" s="80" t="s">
        <v>133</v>
      </c>
      <c r="D70" s="80">
        <v>1</v>
      </c>
      <c r="E70" s="80" t="str">
        <f>Таблица3[[#Headers],[Лекарственная форма]]</f>
        <v>Лекарственная форма</v>
      </c>
      <c r="F70" s="81" t="e">
        <f>VLOOKUP($B70,#REF!,2,0)</f>
        <v>#REF!</v>
      </c>
      <c r="G70" s="80" t="e">
        <f>VLOOKUP($B70,#REF!,6,0)</f>
        <v>#REF!</v>
      </c>
      <c r="H70" s="80" t="e">
        <f>VLOOKUP($B70,'Анализ рынка'!$G:$AL,35,0)</f>
        <v>#N/A</v>
      </c>
      <c r="I70" s="80" t="e">
        <f t="shared" ref="I70" si="17">J70&amp;$J$1&amp;K70&amp;$K$1&amp;L70&amp;$L$1</f>
        <v>#REF!</v>
      </c>
      <c r="J70" s="80" t="e">
        <f>VLOOKUP($B70,#REF!,35,0)</f>
        <v>#REF!</v>
      </c>
      <c r="K70" s="80" t="e">
        <f>VLOOKUP($B70,#REF!,36,0)</f>
        <v>#REF!</v>
      </c>
      <c r="L70" s="80" t="e">
        <f>VLOOKUP($B70,#REF!,37,0)</f>
        <v>#REF!</v>
      </c>
      <c r="M70" s="141" t="e">
        <f>VLOOKUP($C70,ИТОГ!$D$8:$M$45,4,0)</f>
        <v>#N/A</v>
      </c>
      <c r="N70" s="142" t="e">
        <f t="shared" ref="N70:N122" si="18">M70*H70</f>
        <v>#N/A</v>
      </c>
      <c r="O70" s="80" t="e">
        <f>VLOOKUP($C70,ИТОГ!$D$8:$M$45,9,0)</f>
        <v>#N/A</v>
      </c>
      <c r="P70" s="82"/>
      <c r="Q70" s="82"/>
      <c r="R70" s="82"/>
    </row>
    <row r="71" spans="1:18" hidden="1" x14ac:dyDescent="0.25">
      <c r="A71" s="82"/>
      <c r="B71" s="82" t="s">
        <v>133</v>
      </c>
      <c r="C71" s="82"/>
      <c r="D71" s="82">
        <v>2</v>
      </c>
      <c r="E71" s="82" t="str">
        <f>Таблица3[[#Headers],[Дозировка]]</f>
        <v>Дозировка</v>
      </c>
      <c r="F71" s="83" t="e">
        <f>VLOOKUP($B71,#REF!,3,0)</f>
        <v>#REF!</v>
      </c>
      <c r="G71" s="82"/>
      <c r="H71" s="80"/>
      <c r="I71" s="82"/>
      <c r="J71" s="82"/>
      <c r="K71" s="82"/>
      <c r="L71" s="82"/>
      <c r="M71" s="141"/>
      <c r="N71" s="142"/>
      <c r="O71" s="80"/>
      <c r="P71" s="82"/>
      <c r="Q71" s="82"/>
      <c r="R71" s="82"/>
    </row>
    <row r="72" spans="1:18" hidden="1" x14ac:dyDescent="0.25">
      <c r="A72" s="82"/>
      <c r="B72" s="82" t="s">
        <v>133</v>
      </c>
      <c r="C72" s="82"/>
      <c r="D72" s="82">
        <v>3</v>
      </c>
      <c r="E72" s="82" t="str">
        <f>Таблица3[[#Headers],[Первичная упаковка]]</f>
        <v>Первичная упаковка</v>
      </c>
      <c r="F72" s="82" t="e">
        <f>VLOOKUP($B72,#REF!,4,0)</f>
        <v>#REF!</v>
      </c>
      <c r="G72" s="82"/>
      <c r="H72" s="82"/>
      <c r="I72" s="82"/>
      <c r="J72" s="82"/>
      <c r="K72" s="82"/>
      <c r="L72" s="82"/>
      <c r="M72" s="82"/>
      <c r="N72" s="82"/>
      <c r="O72" s="80"/>
      <c r="P72" s="82"/>
      <c r="Q72" s="82"/>
      <c r="R72" s="82"/>
    </row>
    <row r="73" spans="1:18" hidden="1" x14ac:dyDescent="0.25">
      <c r="A73" s="82"/>
      <c r="B73" s="82" t="s">
        <v>133</v>
      </c>
      <c r="C73" s="82"/>
      <c r="D73" s="82">
        <v>4</v>
      </c>
      <c r="E73" s="82" t="str">
        <f>Таблица3[[#Headers],[Описание упаковки]]</f>
        <v>Описание упаковки</v>
      </c>
      <c r="F73" s="83" t="e">
        <f>VLOOKUP($B73,#REF!,5,0)</f>
        <v>#REF!</v>
      </c>
      <c r="G73" s="82"/>
      <c r="H73" s="80"/>
      <c r="I73" s="82"/>
      <c r="J73" s="82"/>
      <c r="K73" s="82"/>
      <c r="L73" s="82"/>
      <c r="M73" s="141"/>
      <c r="N73" s="142"/>
      <c r="O73" s="80"/>
      <c r="P73" s="82"/>
      <c r="Q73" s="82"/>
      <c r="R73" s="82"/>
    </row>
    <row r="74" spans="1:18" s="85" customFormat="1" x14ac:dyDescent="0.25">
      <c r="A74" s="84">
        <v>19</v>
      </c>
      <c r="B74" s="84" t="s">
        <v>134</v>
      </c>
      <c r="C74" s="84" t="s">
        <v>134</v>
      </c>
      <c r="D74" s="84">
        <v>1</v>
      </c>
      <c r="E74" s="84" t="str">
        <f>Таблица3[[#Headers],[Лекарственная форма]]</f>
        <v>Лекарственная форма</v>
      </c>
      <c r="F74" s="84" t="e">
        <f>VLOOKUP($B74,#REF!,2,0)</f>
        <v>#REF!</v>
      </c>
      <c r="G74" s="84" t="e">
        <f>VLOOKUP($B74,#REF!,6,0)</f>
        <v>#REF!</v>
      </c>
      <c r="H74" s="84" t="e">
        <f>VLOOKUP($B74,#REF!,38,0)</f>
        <v>#REF!</v>
      </c>
      <c r="I74" s="84" t="e">
        <f t="shared" ref="I74" si="19">J74&amp;$J$1&amp;K74&amp;$K$1&amp;L74&amp;$L$1</f>
        <v>#REF!</v>
      </c>
      <c r="J74" s="84" t="e">
        <f>VLOOKUP($B74,#REF!,35,0)</f>
        <v>#REF!</v>
      </c>
      <c r="K74" s="84" t="e">
        <f>VLOOKUP($B74,#REF!,36,0)</f>
        <v>#REF!</v>
      </c>
      <c r="L74" s="84" t="e">
        <f>VLOOKUP($B74,#REF!,37,0)</f>
        <v>#REF!</v>
      </c>
      <c r="M74" s="86"/>
      <c r="N74" s="86"/>
      <c r="O74" s="86"/>
      <c r="P74" s="86"/>
      <c r="Q74" s="86"/>
      <c r="R74" s="86"/>
    </row>
    <row r="75" spans="1:18" s="85" customFormat="1" hidden="1" x14ac:dyDescent="0.25">
      <c r="A75" s="86"/>
      <c r="B75" s="86" t="s">
        <v>134</v>
      </c>
      <c r="C75" s="86"/>
      <c r="D75" s="86">
        <v>2</v>
      </c>
      <c r="E75" s="86" t="str">
        <f>Таблица3[[#Headers],[Дозировка]]</f>
        <v>Дозировка</v>
      </c>
      <c r="F75" s="86" t="e">
        <f>VLOOKUP($B75,#REF!,3,0)</f>
        <v>#REF!</v>
      </c>
      <c r="G75" s="86"/>
      <c r="H75" s="86"/>
      <c r="I75" s="86"/>
      <c r="J75" s="86"/>
      <c r="K75" s="86"/>
      <c r="L75" s="86"/>
      <c r="M75" s="86"/>
      <c r="N75" s="86"/>
      <c r="O75" s="86"/>
      <c r="P75" s="86"/>
      <c r="Q75" s="86"/>
      <c r="R75" s="86"/>
    </row>
    <row r="76" spans="1:18" s="85" customFormat="1" hidden="1" x14ac:dyDescent="0.25">
      <c r="A76" s="86"/>
      <c r="B76" s="86" t="s">
        <v>134</v>
      </c>
      <c r="C76" s="86"/>
      <c r="D76" s="86">
        <v>3</v>
      </c>
      <c r="E76" s="86" t="str">
        <f>Таблица3[[#Headers],[Первичная упаковка]]</f>
        <v>Первичная упаковка</v>
      </c>
      <c r="F76" s="86" t="e">
        <f>VLOOKUP($B76,#REF!,4,0)</f>
        <v>#REF!</v>
      </c>
      <c r="G76" s="86"/>
      <c r="H76" s="86"/>
      <c r="I76" s="86"/>
      <c r="J76" s="86"/>
      <c r="K76" s="86"/>
      <c r="L76" s="86"/>
      <c r="M76" s="86"/>
      <c r="N76" s="86"/>
      <c r="O76" s="86"/>
      <c r="P76" s="86"/>
      <c r="Q76" s="86"/>
      <c r="R76" s="86"/>
    </row>
    <row r="77" spans="1:18" s="85" customFormat="1" hidden="1" x14ac:dyDescent="0.25">
      <c r="A77" s="86"/>
      <c r="B77" s="86" t="s">
        <v>134</v>
      </c>
      <c r="C77" s="86"/>
      <c r="D77" s="86">
        <v>4</v>
      </c>
      <c r="E77" s="86" t="str">
        <f>Таблица3[[#Headers],[Описание упаковки]]</f>
        <v>Описание упаковки</v>
      </c>
      <c r="F77" s="86" t="e">
        <f>VLOOKUP($B77,#REF!,5,0)</f>
        <v>#REF!</v>
      </c>
      <c r="G77" s="86"/>
      <c r="H77" s="86"/>
      <c r="I77" s="86"/>
      <c r="J77" s="86"/>
      <c r="K77" s="86"/>
      <c r="L77" s="86"/>
      <c r="M77" s="86"/>
      <c r="N77" s="86"/>
      <c r="O77" s="86"/>
      <c r="P77" s="86"/>
      <c r="Q77" s="86"/>
      <c r="R77" s="86"/>
    </row>
    <row r="78" spans="1:18" x14ac:dyDescent="0.25">
      <c r="A78" s="80">
        <v>20</v>
      </c>
      <c r="B78" s="80" t="s">
        <v>135</v>
      </c>
      <c r="C78" s="80" t="s">
        <v>135</v>
      </c>
      <c r="D78" s="80">
        <v>1</v>
      </c>
      <c r="E78" s="80" t="str">
        <f>Таблица3[[#Headers],[Лекарственная форма]]</f>
        <v>Лекарственная форма</v>
      </c>
      <c r="F78" s="81" t="e">
        <f>VLOOKUP($B78,#REF!,2,0)</f>
        <v>#REF!</v>
      </c>
      <c r="G78" s="80" t="e">
        <f>VLOOKUP($B78,#REF!,6,0)</f>
        <v>#REF!</v>
      </c>
      <c r="H78" s="80" t="e">
        <f>VLOOKUP($B78,'Анализ рынка'!$G:$AL,35,0)</f>
        <v>#REF!</v>
      </c>
      <c r="I78" s="80" t="e">
        <f t="shared" ref="I78" si="20">J78&amp;$J$1&amp;K78&amp;$K$1&amp;L78&amp;$L$1</f>
        <v>#REF!</v>
      </c>
      <c r="J78" s="80" t="e">
        <f>VLOOKUP($B78,#REF!,35,0)</f>
        <v>#REF!</v>
      </c>
      <c r="K78" s="80" t="e">
        <f>VLOOKUP($B78,#REF!,36,0)</f>
        <v>#REF!</v>
      </c>
      <c r="L78" s="80" t="e">
        <f>VLOOKUP($B78,#REF!,37,0)</f>
        <v>#REF!</v>
      </c>
      <c r="M78" s="141" t="e">
        <f>VLOOKUP($C78,ИТОГ!$D$8:$M$45,4,0)</f>
        <v>#N/A</v>
      </c>
      <c r="N78" s="142" t="e">
        <f t="shared" si="18"/>
        <v>#N/A</v>
      </c>
      <c r="O78" s="80" t="e">
        <f>VLOOKUP($C78,ИТОГ!$D$8:$M$45,9,0)</f>
        <v>#N/A</v>
      </c>
      <c r="P78" s="82"/>
      <c r="Q78" s="82"/>
      <c r="R78" s="82"/>
    </row>
    <row r="79" spans="1:18" hidden="1" x14ac:dyDescent="0.25">
      <c r="A79" s="82"/>
      <c r="B79" s="82" t="s">
        <v>135</v>
      </c>
      <c r="C79" s="82"/>
      <c r="D79" s="82">
        <v>2</v>
      </c>
      <c r="E79" s="82" t="str">
        <f>Таблица3[[#Headers],[Дозировка]]</f>
        <v>Дозировка</v>
      </c>
      <c r="F79" s="83" t="e">
        <f>VLOOKUP($B79,#REF!,3,0)</f>
        <v>#REF!</v>
      </c>
      <c r="G79" s="82"/>
      <c r="H79" s="80"/>
      <c r="I79" s="82"/>
      <c r="J79" s="82"/>
      <c r="K79" s="82"/>
      <c r="L79" s="82"/>
      <c r="M79" s="141"/>
      <c r="N79" s="142"/>
      <c r="O79" s="80"/>
      <c r="P79" s="82"/>
      <c r="Q79" s="82"/>
      <c r="R79" s="82"/>
    </row>
    <row r="80" spans="1:18" hidden="1" x14ac:dyDescent="0.25">
      <c r="A80" s="82"/>
      <c r="B80" s="82" t="s">
        <v>135</v>
      </c>
      <c r="C80" s="82"/>
      <c r="D80" s="82">
        <v>3</v>
      </c>
      <c r="E80" s="82" t="str">
        <f>Таблица3[[#Headers],[Первичная упаковка]]</f>
        <v>Первичная упаковка</v>
      </c>
      <c r="F80" s="83" t="e">
        <f>VLOOKUP($B80,#REF!,4,0)</f>
        <v>#REF!</v>
      </c>
      <c r="G80" s="82"/>
      <c r="H80" s="80"/>
      <c r="I80" s="82"/>
      <c r="J80" s="82"/>
      <c r="K80" s="82"/>
      <c r="L80" s="82"/>
      <c r="M80" s="141"/>
      <c r="N80" s="142"/>
      <c r="O80" s="80"/>
      <c r="P80" s="82"/>
      <c r="Q80" s="82"/>
      <c r="R80" s="82"/>
    </row>
    <row r="81" spans="1:18" hidden="1" x14ac:dyDescent="0.25">
      <c r="A81" s="82"/>
      <c r="B81" s="82" t="s">
        <v>135</v>
      </c>
      <c r="C81" s="82"/>
      <c r="D81" s="82">
        <v>4</v>
      </c>
      <c r="E81" s="82" t="str">
        <f>Таблица3[[#Headers],[Описание упаковки]]</f>
        <v>Описание упаковки</v>
      </c>
      <c r="F81" s="83" t="e">
        <f>VLOOKUP($B81,#REF!,5,0)</f>
        <v>#REF!</v>
      </c>
      <c r="G81" s="82"/>
      <c r="H81" s="80"/>
      <c r="I81" s="82"/>
      <c r="J81" s="82"/>
      <c r="K81" s="82"/>
      <c r="L81" s="82"/>
      <c r="M81" s="141"/>
      <c r="N81" s="142"/>
      <c r="O81" s="80"/>
      <c r="P81" s="82"/>
      <c r="Q81" s="82"/>
      <c r="R81" s="82"/>
    </row>
    <row r="82" spans="1:18" x14ac:dyDescent="0.25">
      <c r="A82" s="80">
        <v>21</v>
      </c>
      <c r="B82" s="80" t="s">
        <v>137</v>
      </c>
      <c r="C82" s="80" t="s">
        <v>137</v>
      </c>
      <c r="D82" s="80">
        <v>1</v>
      </c>
      <c r="E82" s="80" t="str">
        <f>Таблица3[[#Headers],[Лекарственная форма]]</f>
        <v>Лекарственная форма</v>
      </c>
      <c r="F82" s="81" t="e">
        <f>VLOOKUP($B82,#REF!,2,0)</f>
        <v>#REF!</v>
      </c>
      <c r="G82" s="80" t="e">
        <f>VLOOKUP($B82,#REF!,6,0)</f>
        <v>#REF!</v>
      </c>
      <c r="H82" s="80" t="e">
        <f>VLOOKUP($B82,'Анализ рынка'!$G:$AL,35,0)</f>
        <v>#REF!</v>
      </c>
      <c r="I82" s="80" t="e">
        <f t="shared" ref="I82" si="21">J82&amp;$J$1&amp;K82&amp;$K$1&amp;L82&amp;$L$1</f>
        <v>#REF!</v>
      </c>
      <c r="J82" s="80" t="e">
        <f>VLOOKUP($B82,#REF!,35,0)</f>
        <v>#REF!</v>
      </c>
      <c r="K82" s="80" t="e">
        <f>VLOOKUP($B82,#REF!,36,0)</f>
        <v>#REF!</v>
      </c>
      <c r="L82" s="80" t="e">
        <f>VLOOKUP($B82,#REF!,37,0)</f>
        <v>#REF!</v>
      </c>
      <c r="M82" s="141" t="e">
        <f>VLOOKUP($C82,ИТОГ!$D$8:$M$45,4,0)</f>
        <v>#N/A</v>
      </c>
      <c r="N82" s="142" t="e">
        <f t="shared" si="18"/>
        <v>#N/A</v>
      </c>
      <c r="O82" s="80" t="e">
        <f>VLOOKUP($C82,ИТОГ!$D$8:$M$45,9,0)</f>
        <v>#N/A</v>
      </c>
      <c r="P82" s="82"/>
      <c r="Q82" s="82"/>
      <c r="R82" s="82"/>
    </row>
    <row r="83" spans="1:18" hidden="1" x14ac:dyDescent="0.25">
      <c r="A83" s="82"/>
      <c r="B83" s="82" t="s">
        <v>137</v>
      </c>
      <c r="C83" s="82"/>
      <c r="D83" s="82">
        <v>2</v>
      </c>
      <c r="E83" s="82" t="str">
        <f>Таблица3[[#Headers],[Дозировка]]</f>
        <v>Дозировка</v>
      </c>
      <c r="F83" s="83" t="e">
        <f>VLOOKUP($B83,#REF!,3,0)</f>
        <v>#REF!</v>
      </c>
      <c r="G83" s="82"/>
      <c r="H83" s="80"/>
      <c r="I83" s="82"/>
      <c r="J83" s="82"/>
      <c r="K83" s="82"/>
      <c r="L83" s="82"/>
      <c r="M83" s="141"/>
      <c r="N83" s="142"/>
      <c r="O83" s="80"/>
      <c r="P83" s="82"/>
      <c r="Q83" s="82"/>
      <c r="R83" s="82"/>
    </row>
    <row r="84" spans="1:18" hidden="1" x14ac:dyDescent="0.25">
      <c r="A84" s="82"/>
      <c r="B84" s="82" t="s">
        <v>137</v>
      </c>
      <c r="C84" s="82"/>
      <c r="D84" s="82">
        <v>3</v>
      </c>
      <c r="E84" s="82" t="str">
        <f>Таблица3[[#Headers],[Первичная упаковка]]</f>
        <v>Первичная упаковка</v>
      </c>
      <c r="F84" s="83" t="e">
        <f>VLOOKUP($B84,#REF!,4,0)</f>
        <v>#REF!</v>
      </c>
      <c r="G84" s="82"/>
      <c r="H84" s="80"/>
      <c r="I84" s="82"/>
      <c r="J84" s="82"/>
      <c r="K84" s="82"/>
      <c r="L84" s="82"/>
      <c r="M84" s="141"/>
      <c r="N84" s="142"/>
      <c r="O84" s="80"/>
      <c r="P84" s="82"/>
      <c r="Q84" s="82"/>
      <c r="R84" s="82"/>
    </row>
    <row r="85" spans="1:18" hidden="1" x14ac:dyDescent="0.25">
      <c r="A85" s="82"/>
      <c r="B85" s="82" t="s">
        <v>137</v>
      </c>
      <c r="C85" s="82"/>
      <c r="D85" s="82">
        <v>4</v>
      </c>
      <c r="E85" s="82" t="str">
        <f>Таблица3[[#Headers],[Описание упаковки]]</f>
        <v>Описание упаковки</v>
      </c>
      <c r="F85" s="83" t="e">
        <f>VLOOKUP($B85,#REF!,5,0)</f>
        <v>#REF!</v>
      </c>
      <c r="G85" s="82"/>
      <c r="H85" s="80"/>
      <c r="I85" s="82"/>
      <c r="J85" s="82"/>
      <c r="K85" s="82"/>
      <c r="L85" s="82"/>
      <c r="M85" s="141"/>
      <c r="N85" s="142"/>
      <c r="O85" s="80"/>
      <c r="P85" s="82"/>
      <c r="Q85" s="82"/>
      <c r="R85" s="82"/>
    </row>
    <row r="86" spans="1:18" s="85" customFormat="1" x14ac:dyDescent="0.25">
      <c r="A86" s="84">
        <v>22</v>
      </c>
      <c r="B86" s="84" t="s">
        <v>170</v>
      </c>
      <c r="C86" s="84" t="s">
        <v>170</v>
      </c>
      <c r="D86" s="84">
        <v>1</v>
      </c>
      <c r="E86" s="84" t="str">
        <f>Таблица3[[#Headers],[Лекарственная форма]]</f>
        <v>Лекарственная форма</v>
      </c>
      <c r="F86" s="84" t="e">
        <f>VLOOKUP($B86,#REF!,2,0)</f>
        <v>#REF!</v>
      </c>
      <c r="G86" s="84" t="e">
        <f>VLOOKUP($B86,#REF!,6,0)</f>
        <v>#REF!</v>
      </c>
      <c r="H86" s="84" t="e">
        <f>VLOOKUP($B86,#REF!,38,0)</f>
        <v>#REF!</v>
      </c>
      <c r="I86" s="84" t="e">
        <f t="shared" ref="I86" si="22">J86&amp;$J$1&amp;K86&amp;$K$1&amp;L86&amp;$L$1</f>
        <v>#REF!</v>
      </c>
      <c r="J86" s="84" t="e">
        <f>VLOOKUP($B86,#REF!,35,0)</f>
        <v>#REF!</v>
      </c>
      <c r="K86" s="84" t="e">
        <f>VLOOKUP($B86,#REF!,36,0)</f>
        <v>#REF!</v>
      </c>
      <c r="L86" s="84" t="e">
        <f>VLOOKUP($B86,#REF!,37,0)</f>
        <v>#REF!</v>
      </c>
      <c r="M86" s="86"/>
      <c r="N86" s="86"/>
      <c r="O86" s="86"/>
      <c r="P86" s="86"/>
      <c r="Q86" s="86"/>
      <c r="R86" s="86"/>
    </row>
    <row r="87" spans="1:18" s="85" customFormat="1" hidden="1" x14ac:dyDescent="0.25">
      <c r="A87" s="86"/>
      <c r="B87" s="86" t="s">
        <v>170</v>
      </c>
      <c r="C87" s="86"/>
      <c r="D87" s="86">
        <v>2</v>
      </c>
      <c r="E87" s="86" t="str">
        <f>Таблица3[[#Headers],[Дозировка]]</f>
        <v>Дозировка</v>
      </c>
      <c r="F87" s="86" t="e">
        <f>VLOOKUP($B87,#REF!,3,0)</f>
        <v>#REF!</v>
      </c>
      <c r="G87" s="86"/>
      <c r="H87" s="86"/>
      <c r="I87" s="86"/>
      <c r="J87" s="86"/>
      <c r="K87" s="86"/>
      <c r="L87" s="86"/>
      <c r="M87" s="86"/>
      <c r="N87" s="86"/>
      <c r="O87" s="86"/>
      <c r="P87" s="86"/>
      <c r="Q87" s="86"/>
      <c r="R87" s="86"/>
    </row>
    <row r="88" spans="1:18" s="85" customFormat="1" hidden="1" x14ac:dyDescent="0.25">
      <c r="A88" s="86"/>
      <c r="B88" s="86" t="s">
        <v>170</v>
      </c>
      <c r="C88" s="86"/>
      <c r="D88" s="86">
        <v>3</v>
      </c>
      <c r="E88" s="86" t="str">
        <f>Таблица3[[#Headers],[Первичная упаковка]]</f>
        <v>Первичная упаковка</v>
      </c>
      <c r="F88" s="86" t="e">
        <f>VLOOKUP($B88,#REF!,4,0)</f>
        <v>#REF!</v>
      </c>
      <c r="G88" s="86"/>
      <c r="H88" s="86"/>
      <c r="I88" s="86"/>
      <c r="J88" s="86"/>
      <c r="K88" s="86"/>
      <c r="L88" s="86"/>
      <c r="M88" s="86"/>
      <c r="N88" s="86"/>
      <c r="O88" s="86"/>
      <c r="P88" s="86"/>
      <c r="Q88" s="86"/>
      <c r="R88" s="86"/>
    </row>
    <row r="89" spans="1:18" s="85" customFormat="1" hidden="1" x14ac:dyDescent="0.25">
      <c r="A89" s="86"/>
      <c r="B89" s="86" t="s">
        <v>170</v>
      </c>
      <c r="C89" s="86"/>
      <c r="D89" s="86">
        <v>4</v>
      </c>
      <c r="E89" s="86" t="str">
        <f>Таблица3[[#Headers],[Описание упаковки]]</f>
        <v>Описание упаковки</v>
      </c>
      <c r="F89" s="86" t="e">
        <f>VLOOKUP($B89,#REF!,5,0)</f>
        <v>#REF!</v>
      </c>
      <c r="G89" s="86"/>
      <c r="H89" s="86"/>
      <c r="I89" s="86"/>
      <c r="J89" s="86"/>
      <c r="K89" s="86"/>
      <c r="L89" s="86"/>
      <c r="M89" s="86"/>
      <c r="N89" s="86"/>
      <c r="O89" s="86"/>
      <c r="P89" s="86"/>
      <c r="Q89" s="86"/>
      <c r="R89" s="86"/>
    </row>
    <row r="90" spans="1:18" x14ac:dyDescent="0.25">
      <c r="A90" s="80">
        <v>23</v>
      </c>
      <c r="B90" s="80" t="s">
        <v>138</v>
      </c>
      <c r="C90" s="80" t="s">
        <v>138</v>
      </c>
      <c r="D90" s="80">
        <v>1</v>
      </c>
      <c r="E90" s="80" t="str">
        <f>Таблица3[[#Headers],[Лекарственная форма]]</f>
        <v>Лекарственная форма</v>
      </c>
      <c r="F90" s="81" t="e">
        <f>VLOOKUP($B90,#REF!,2,0)</f>
        <v>#REF!</v>
      </c>
      <c r="G90" s="80" t="e">
        <f>VLOOKUP($B90,#REF!,6,0)</f>
        <v>#REF!</v>
      </c>
      <c r="H90" s="80" t="e">
        <f>VLOOKUP($B90,'Анализ рынка'!$G:$AL,35,0)</f>
        <v>#REF!</v>
      </c>
      <c r="I90" s="80" t="e">
        <f t="shared" ref="I90" si="23">J90&amp;$J$1&amp;K90&amp;$K$1&amp;L90&amp;$L$1</f>
        <v>#REF!</v>
      </c>
      <c r="J90" s="80" t="e">
        <f>VLOOKUP($B90,#REF!,35,0)</f>
        <v>#REF!</v>
      </c>
      <c r="K90" s="80" t="e">
        <f>VLOOKUP($B90,#REF!,36,0)</f>
        <v>#REF!</v>
      </c>
      <c r="L90" s="80" t="e">
        <f>VLOOKUP($B90,#REF!,37,0)</f>
        <v>#REF!</v>
      </c>
      <c r="M90" s="141" t="e">
        <f>VLOOKUP($C90,ИТОГ!$D$8:$M$45,4,0)</f>
        <v>#N/A</v>
      </c>
      <c r="N90" s="142" t="e">
        <f t="shared" si="18"/>
        <v>#N/A</v>
      </c>
      <c r="O90" s="80" t="e">
        <f>VLOOKUP($C90,ИТОГ!$D$8:$M$45,9,0)</f>
        <v>#N/A</v>
      </c>
      <c r="P90" s="82"/>
      <c r="Q90" s="82"/>
      <c r="R90" s="82"/>
    </row>
    <row r="91" spans="1:18" hidden="1" x14ac:dyDescent="0.25">
      <c r="A91" s="82"/>
      <c r="B91" s="82" t="s">
        <v>138</v>
      </c>
      <c r="C91" s="82"/>
      <c r="D91" s="82">
        <v>2</v>
      </c>
      <c r="E91" s="82" t="str">
        <f>Таблица3[[#Headers],[Дозировка]]</f>
        <v>Дозировка</v>
      </c>
      <c r="F91" s="83" t="e">
        <f>VLOOKUP($B91,#REF!,3,0)</f>
        <v>#REF!</v>
      </c>
      <c r="G91" s="82"/>
      <c r="H91" s="80"/>
      <c r="I91" s="82"/>
      <c r="J91" s="82"/>
      <c r="K91" s="82"/>
      <c r="L91" s="82"/>
      <c r="M91" s="141"/>
      <c r="N91" s="142"/>
      <c r="O91" s="80"/>
      <c r="P91" s="82"/>
      <c r="Q91" s="82"/>
      <c r="R91" s="82"/>
    </row>
    <row r="92" spans="1:18" hidden="1" x14ac:dyDescent="0.25">
      <c r="A92" s="82"/>
      <c r="B92" s="82" t="s">
        <v>138</v>
      </c>
      <c r="C92" s="82"/>
      <c r="D92" s="82">
        <v>3</v>
      </c>
      <c r="E92" s="82" t="str">
        <f>Таблица3[[#Headers],[Первичная упаковка]]</f>
        <v>Первичная упаковка</v>
      </c>
      <c r="F92" s="83" t="e">
        <f>VLOOKUP($B92,#REF!,4,0)</f>
        <v>#REF!</v>
      </c>
      <c r="G92" s="82"/>
      <c r="H92" s="80"/>
      <c r="I92" s="82"/>
      <c r="J92" s="82"/>
      <c r="K92" s="82"/>
      <c r="L92" s="82"/>
      <c r="M92" s="141"/>
      <c r="N92" s="142"/>
      <c r="O92" s="80"/>
      <c r="P92" s="82"/>
      <c r="Q92" s="82"/>
      <c r="R92" s="82"/>
    </row>
    <row r="93" spans="1:18" hidden="1" x14ac:dyDescent="0.25">
      <c r="A93" s="82"/>
      <c r="B93" s="82" t="s">
        <v>138</v>
      </c>
      <c r="C93" s="82"/>
      <c r="D93" s="82">
        <v>4</v>
      </c>
      <c r="E93" s="82" t="str">
        <f>Таблица3[[#Headers],[Описание упаковки]]</f>
        <v>Описание упаковки</v>
      </c>
      <c r="F93" s="83" t="e">
        <f>VLOOKUP($B93,#REF!,5,0)</f>
        <v>#REF!</v>
      </c>
      <c r="G93" s="82"/>
      <c r="H93" s="80"/>
      <c r="I93" s="82"/>
      <c r="J93" s="82"/>
      <c r="K93" s="82"/>
      <c r="L93" s="82"/>
      <c r="M93" s="141"/>
      <c r="N93" s="142"/>
      <c r="O93" s="80"/>
      <c r="P93" s="82"/>
      <c r="Q93" s="82"/>
      <c r="R93" s="82"/>
    </row>
    <row r="94" spans="1:18" x14ac:dyDescent="0.25">
      <c r="A94" s="80">
        <v>24</v>
      </c>
      <c r="B94" s="80" t="s">
        <v>140</v>
      </c>
      <c r="C94" s="80" t="s">
        <v>140</v>
      </c>
      <c r="D94" s="80">
        <v>1</v>
      </c>
      <c r="E94" s="80" t="str">
        <f>Таблица3[[#Headers],[Лекарственная форма]]</f>
        <v>Лекарственная форма</v>
      </c>
      <c r="F94" s="81" t="e">
        <f>VLOOKUP($B94,#REF!,2,0)</f>
        <v>#REF!</v>
      </c>
      <c r="G94" s="80" t="e">
        <f>VLOOKUP($B94,#REF!,6,0)</f>
        <v>#REF!</v>
      </c>
      <c r="H94" s="80" t="e">
        <f>VLOOKUP($B94,'Анализ рынка'!$G:$AL,35,0)</f>
        <v>#REF!</v>
      </c>
      <c r="I94" s="80" t="e">
        <f t="shared" ref="I94" si="24">J94&amp;$J$1&amp;K94&amp;$K$1&amp;L94&amp;$L$1</f>
        <v>#REF!</v>
      </c>
      <c r="J94" s="80" t="e">
        <f>VLOOKUP($B94,#REF!,35,0)</f>
        <v>#REF!</v>
      </c>
      <c r="K94" s="80" t="e">
        <f>VLOOKUP($B94,#REF!,36,0)</f>
        <v>#REF!</v>
      </c>
      <c r="L94" s="80" t="e">
        <f>VLOOKUP($B94,#REF!,37,0)</f>
        <v>#REF!</v>
      </c>
      <c r="M94" s="141" t="e">
        <f>VLOOKUP($C94,ИТОГ!$D$8:$M$45,4,0)</f>
        <v>#N/A</v>
      </c>
      <c r="N94" s="142" t="e">
        <f t="shared" si="18"/>
        <v>#N/A</v>
      </c>
      <c r="O94" s="80" t="e">
        <f>VLOOKUP($C94,ИТОГ!$D$8:$M$45,9,0)</f>
        <v>#N/A</v>
      </c>
      <c r="P94" s="82"/>
      <c r="Q94" s="82"/>
      <c r="R94" s="82"/>
    </row>
    <row r="95" spans="1:18" hidden="1" x14ac:dyDescent="0.25">
      <c r="A95" s="82"/>
      <c r="B95" s="82" t="s">
        <v>140</v>
      </c>
      <c r="C95" s="82"/>
      <c r="D95" s="82">
        <v>2</v>
      </c>
      <c r="E95" s="82" t="str">
        <f>Таблица3[[#Headers],[Дозировка]]</f>
        <v>Дозировка</v>
      </c>
      <c r="F95" s="83" t="e">
        <f>VLOOKUP($B95,#REF!,3,0)</f>
        <v>#REF!</v>
      </c>
      <c r="G95" s="82"/>
      <c r="H95" s="80"/>
      <c r="I95" s="82"/>
      <c r="J95" s="82"/>
      <c r="K95" s="82"/>
      <c r="L95" s="82"/>
      <c r="M95" s="141"/>
      <c r="N95" s="142"/>
      <c r="O95" s="80"/>
      <c r="P95" s="82"/>
      <c r="Q95" s="82"/>
      <c r="R95" s="82"/>
    </row>
    <row r="96" spans="1:18" hidden="1" x14ac:dyDescent="0.25">
      <c r="A96" s="82"/>
      <c r="B96" s="82" t="s">
        <v>140</v>
      </c>
      <c r="C96" s="82"/>
      <c r="D96" s="82">
        <v>3</v>
      </c>
      <c r="E96" s="82" t="str">
        <f>Таблица3[[#Headers],[Первичная упаковка]]</f>
        <v>Первичная упаковка</v>
      </c>
      <c r="F96" s="83" t="e">
        <f>VLOOKUP($B96,#REF!,4,0)</f>
        <v>#REF!</v>
      </c>
      <c r="G96" s="82"/>
      <c r="H96" s="80"/>
      <c r="I96" s="82"/>
      <c r="J96" s="82"/>
      <c r="K96" s="82"/>
      <c r="L96" s="82"/>
      <c r="M96" s="141"/>
      <c r="N96" s="142"/>
      <c r="O96" s="80"/>
      <c r="P96" s="82"/>
      <c r="Q96" s="82"/>
      <c r="R96" s="82"/>
    </row>
    <row r="97" spans="1:18" hidden="1" x14ac:dyDescent="0.25">
      <c r="A97" s="82"/>
      <c r="B97" s="82" t="s">
        <v>140</v>
      </c>
      <c r="C97" s="82"/>
      <c r="D97" s="82">
        <v>4</v>
      </c>
      <c r="E97" s="82" t="str">
        <f>Таблица3[[#Headers],[Описание упаковки]]</f>
        <v>Описание упаковки</v>
      </c>
      <c r="F97" s="83" t="e">
        <f>VLOOKUP($B97,#REF!,5,0)</f>
        <v>#REF!</v>
      </c>
      <c r="G97" s="82"/>
      <c r="H97" s="80"/>
      <c r="I97" s="82"/>
      <c r="J97" s="82"/>
      <c r="K97" s="82"/>
      <c r="L97" s="82"/>
      <c r="M97" s="141"/>
      <c r="N97" s="142"/>
      <c r="O97" s="80"/>
      <c r="P97" s="82"/>
      <c r="Q97" s="82"/>
      <c r="R97" s="82"/>
    </row>
    <row r="98" spans="1:18" s="85" customFormat="1" x14ac:dyDescent="0.25">
      <c r="A98" s="84">
        <v>25</v>
      </c>
      <c r="B98" s="84" t="s">
        <v>141</v>
      </c>
      <c r="C98" s="84" t="s">
        <v>141</v>
      </c>
      <c r="D98" s="84">
        <v>1</v>
      </c>
      <c r="E98" s="84" t="str">
        <f>Таблица3[[#Headers],[Лекарственная форма]]</f>
        <v>Лекарственная форма</v>
      </c>
      <c r="F98" s="84" t="e">
        <f>VLOOKUP($B98,#REF!,2,0)</f>
        <v>#REF!</v>
      </c>
      <c r="G98" s="84" t="e">
        <f>VLOOKUP($B98,#REF!,6,0)</f>
        <v>#REF!</v>
      </c>
      <c r="H98" s="84" t="e">
        <f>VLOOKUP($B98,#REF!,38,0)</f>
        <v>#REF!</v>
      </c>
      <c r="I98" s="84" t="e">
        <f t="shared" ref="I98" si="25">J98&amp;$J$1&amp;K98&amp;$K$1&amp;L98&amp;$L$1</f>
        <v>#REF!</v>
      </c>
      <c r="J98" s="84" t="e">
        <f>VLOOKUP($B98,#REF!,35,0)</f>
        <v>#REF!</v>
      </c>
      <c r="K98" s="84" t="e">
        <f>VLOOKUP($B98,#REF!,36,0)</f>
        <v>#REF!</v>
      </c>
      <c r="L98" s="84" t="e">
        <f>VLOOKUP($B98,#REF!,37,0)</f>
        <v>#REF!</v>
      </c>
      <c r="M98" s="86"/>
      <c r="N98" s="86"/>
      <c r="O98" s="86"/>
      <c r="P98" s="86"/>
      <c r="Q98" s="86"/>
      <c r="R98" s="86"/>
    </row>
    <row r="99" spans="1:18" s="85" customFormat="1" hidden="1" x14ac:dyDescent="0.25">
      <c r="A99" s="86"/>
      <c r="B99" s="86" t="s">
        <v>141</v>
      </c>
      <c r="C99" s="86"/>
      <c r="D99" s="86">
        <v>2</v>
      </c>
      <c r="E99" s="86" t="str">
        <f>Таблица3[[#Headers],[Дозировка]]</f>
        <v>Дозировка</v>
      </c>
      <c r="F99" s="86" t="e">
        <f>VLOOKUP($B99,#REF!,3,0)</f>
        <v>#REF!</v>
      </c>
      <c r="G99" s="86"/>
      <c r="H99" s="86"/>
      <c r="I99" s="86"/>
      <c r="J99" s="86"/>
      <c r="K99" s="86"/>
      <c r="L99" s="86"/>
      <c r="M99" s="86"/>
      <c r="N99" s="86"/>
      <c r="O99" s="86"/>
      <c r="P99" s="86"/>
      <c r="Q99" s="86"/>
      <c r="R99" s="86"/>
    </row>
    <row r="100" spans="1:18" s="85" customFormat="1" hidden="1" x14ac:dyDescent="0.25">
      <c r="A100" s="86"/>
      <c r="B100" s="86" t="s">
        <v>141</v>
      </c>
      <c r="C100" s="86"/>
      <c r="D100" s="86">
        <v>3</v>
      </c>
      <c r="E100" s="86" t="str">
        <f>Таблица3[[#Headers],[Первичная упаковка]]</f>
        <v>Первичная упаковка</v>
      </c>
      <c r="F100" s="86" t="e">
        <f>VLOOKUP($B100,#REF!,4,0)</f>
        <v>#REF!</v>
      </c>
      <c r="G100" s="86"/>
      <c r="H100" s="86"/>
      <c r="I100" s="86"/>
      <c r="J100" s="86"/>
      <c r="K100" s="86"/>
      <c r="L100" s="86"/>
      <c r="M100" s="86"/>
      <c r="N100" s="86"/>
      <c r="O100" s="86"/>
      <c r="P100" s="86"/>
      <c r="Q100" s="86"/>
      <c r="R100" s="86"/>
    </row>
    <row r="101" spans="1:18" s="85" customFormat="1" hidden="1" x14ac:dyDescent="0.25">
      <c r="A101" s="86"/>
      <c r="B101" s="86" t="s">
        <v>141</v>
      </c>
      <c r="C101" s="86"/>
      <c r="D101" s="86">
        <v>4</v>
      </c>
      <c r="E101" s="86" t="str">
        <f>Таблица3[[#Headers],[Описание упаковки]]</f>
        <v>Описание упаковки</v>
      </c>
      <c r="F101" s="86" t="e">
        <f>VLOOKUP($B101,#REF!,5,0)</f>
        <v>#REF!</v>
      </c>
      <c r="G101" s="86"/>
      <c r="H101" s="86"/>
      <c r="I101" s="86"/>
      <c r="J101" s="86"/>
      <c r="K101" s="86"/>
      <c r="L101" s="86"/>
      <c r="M101" s="86"/>
      <c r="N101" s="86"/>
      <c r="O101" s="86"/>
      <c r="P101" s="86"/>
      <c r="Q101" s="86"/>
      <c r="R101" s="86"/>
    </row>
    <row r="102" spans="1:18" x14ac:dyDescent="0.25">
      <c r="A102" s="80">
        <v>26</v>
      </c>
      <c r="B102" s="80" t="s">
        <v>155</v>
      </c>
      <c r="C102" s="80" t="s">
        <v>155</v>
      </c>
      <c r="D102" s="80">
        <v>1</v>
      </c>
      <c r="E102" s="80" t="str">
        <f>Таблица3[[#Headers],[Лекарственная форма]]</f>
        <v>Лекарственная форма</v>
      </c>
      <c r="F102" s="81" t="e">
        <f>VLOOKUP($B102,#REF!,2,0)</f>
        <v>#REF!</v>
      </c>
      <c r="G102" s="80" t="e">
        <f>VLOOKUP($B102,#REF!,6,0)</f>
        <v>#REF!</v>
      </c>
      <c r="H102" s="80" t="e">
        <f>VLOOKUP($B102,'Анализ рынка'!$G:$AL,35,0)</f>
        <v>#REF!</v>
      </c>
      <c r="I102" s="80" t="e">
        <f t="shared" ref="I102" si="26">J102&amp;$J$1&amp;K102&amp;$K$1&amp;L102&amp;$L$1</f>
        <v>#REF!</v>
      </c>
      <c r="J102" s="80" t="e">
        <f>VLOOKUP($B102,#REF!,35,0)</f>
        <v>#REF!</v>
      </c>
      <c r="K102" s="80" t="e">
        <f>VLOOKUP($B102,#REF!,36,0)</f>
        <v>#REF!</v>
      </c>
      <c r="L102" s="80" t="e">
        <f>VLOOKUP($B102,#REF!,37,0)</f>
        <v>#REF!</v>
      </c>
      <c r="M102" s="141" t="e">
        <f>VLOOKUP($C102,ИТОГ!$D$8:$M$45,4,0)</f>
        <v>#N/A</v>
      </c>
      <c r="N102" s="142" t="e">
        <f t="shared" si="18"/>
        <v>#N/A</v>
      </c>
      <c r="O102" s="80" t="e">
        <f>VLOOKUP($C102,ИТОГ!$D$8:$M$45,9,0)</f>
        <v>#N/A</v>
      </c>
      <c r="P102" s="82"/>
      <c r="Q102" s="82"/>
      <c r="R102" s="82"/>
    </row>
    <row r="103" spans="1:18" hidden="1" x14ac:dyDescent="0.25">
      <c r="A103" s="82"/>
      <c r="B103" s="82" t="s">
        <v>155</v>
      </c>
      <c r="C103" s="82"/>
      <c r="D103" s="82">
        <v>2</v>
      </c>
      <c r="E103" s="82" t="str">
        <f>Таблица3[[#Headers],[Дозировка]]</f>
        <v>Дозировка</v>
      </c>
      <c r="F103" s="83" t="e">
        <f>VLOOKUP($B103,#REF!,3,0)</f>
        <v>#REF!</v>
      </c>
      <c r="G103" s="82"/>
      <c r="H103" s="80"/>
      <c r="I103" s="82"/>
      <c r="J103" s="82"/>
      <c r="K103" s="82"/>
      <c r="L103" s="82"/>
      <c r="M103" s="141"/>
      <c r="N103" s="142"/>
      <c r="O103" s="80"/>
      <c r="P103" s="82"/>
      <c r="Q103" s="82"/>
      <c r="R103" s="82"/>
    </row>
    <row r="104" spans="1:18" hidden="1" x14ac:dyDescent="0.25">
      <c r="A104" s="82"/>
      <c r="B104" s="82" t="s">
        <v>155</v>
      </c>
      <c r="C104" s="82"/>
      <c r="D104" s="82">
        <v>3</v>
      </c>
      <c r="E104" s="82" t="str">
        <f>Таблица3[[#Headers],[Первичная упаковка]]</f>
        <v>Первичная упаковка</v>
      </c>
      <c r="F104" s="83" t="e">
        <f>VLOOKUP($B104,#REF!,4,0)</f>
        <v>#REF!</v>
      </c>
      <c r="G104" s="82"/>
      <c r="H104" s="80"/>
      <c r="I104" s="82"/>
      <c r="J104" s="82"/>
      <c r="K104" s="82"/>
      <c r="L104" s="82"/>
      <c r="M104" s="141"/>
      <c r="N104" s="142"/>
      <c r="O104" s="80"/>
      <c r="P104" s="82"/>
      <c r="Q104" s="82"/>
      <c r="R104" s="82"/>
    </row>
    <row r="105" spans="1:18" hidden="1" x14ac:dyDescent="0.25">
      <c r="A105" s="82"/>
      <c r="B105" s="82" t="s">
        <v>155</v>
      </c>
      <c r="C105" s="82"/>
      <c r="D105" s="82">
        <v>4</v>
      </c>
      <c r="E105" s="82" t="str">
        <f>Таблица3[[#Headers],[Описание упаковки]]</f>
        <v>Описание упаковки</v>
      </c>
      <c r="F105" s="83" t="e">
        <f>VLOOKUP($B105,#REF!,5,0)</f>
        <v>#REF!</v>
      </c>
      <c r="G105" s="82"/>
      <c r="H105" s="80"/>
      <c r="I105" s="82"/>
      <c r="J105" s="82"/>
      <c r="K105" s="82"/>
      <c r="L105" s="82"/>
      <c r="M105" s="141"/>
      <c r="N105" s="142"/>
      <c r="O105" s="80"/>
      <c r="P105" s="82"/>
      <c r="Q105" s="82"/>
      <c r="R105" s="82"/>
    </row>
    <row r="106" spans="1:18" x14ac:dyDescent="0.25">
      <c r="A106" s="80">
        <v>27</v>
      </c>
      <c r="B106" s="80" t="s">
        <v>158</v>
      </c>
      <c r="C106" s="80" t="s">
        <v>158</v>
      </c>
      <c r="D106" s="80">
        <v>1</v>
      </c>
      <c r="E106" s="80" t="str">
        <f>Таблица3[[#Headers],[Лекарственная форма]]</f>
        <v>Лекарственная форма</v>
      </c>
      <c r="F106" s="81" t="e">
        <f>VLOOKUP($B106,#REF!,2,0)</f>
        <v>#REF!</v>
      </c>
      <c r="G106" s="80" t="e">
        <f>VLOOKUP($B106,#REF!,6,0)</f>
        <v>#REF!</v>
      </c>
      <c r="H106" s="80" t="e">
        <f>VLOOKUP($B106,'Анализ рынка'!$G:$AL,35,0)</f>
        <v>#REF!</v>
      </c>
      <c r="I106" s="80" t="e">
        <f t="shared" ref="I106" si="27">J106&amp;$J$1&amp;K106&amp;$K$1&amp;L106&amp;$L$1</f>
        <v>#REF!</v>
      </c>
      <c r="J106" s="80" t="e">
        <f>VLOOKUP($B106,#REF!,35,0)</f>
        <v>#REF!</v>
      </c>
      <c r="K106" s="80" t="e">
        <f>VLOOKUP($B106,#REF!,36,0)</f>
        <v>#REF!</v>
      </c>
      <c r="L106" s="80" t="e">
        <f>VLOOKUP($B106,#REF!,37,0)</f>
        <v>#REF!</v>
      </c>
      <c r="M106" s="141" t="e">
        <f>VLOOKUP($C106,ИТОГ!$D$8:$M$45,4,0)</f>
        <v>#N/A</v>
      </c>
      <c r="N106" s="142" t="e">
        <f t="shared" si="18"/>
        <v>#N/A</v>
      </c>
      <c r="O106" s="80" t="e">
        <f>VLOOKUP($C106,ИТОГ!$D$8:$M$45,9,0)</f>
        <v>#N/A</v>
      </c>
      <c r="P106" s="82"/>
      <c r="Q106" s="82"/>
      <c r="R106" s="82"/>
    </row>
    <row r="107" spans="1:18" hidden="1" x14ac:dyDescent="0.25">
      <c r="A107" s="82"/>
      <c r="B107" s="82" t="s">
        <v>158</v>
      </c>
      <c r="C107" s="82"/>
      <c r="D107" s="82">
        <v>2</v>
      </c>
      <c r="E107" s="82" t="str">
        <f>Таблица3[[#Headers],[Дозировка]]</f>
        <v>Дозировка</v>
      </c>
      <c r="F107" s="83" t="e">
        <f>VLOOKUP($B107,#REF!,3,0)</f>
        <v>#REF!</v>
      </c>
      <c r="G107" s="82"/>
      <c r="H107" s="80"/>
      <c r="I107" s="82"/>
      <c r="J107" s="82"/>
      <c r="K107" s="82"/>
      <c r="L107" s="82"/>
      <c r="M107" s="141"/>
      <c r="N107" s="142"/>
      <c r="O107" s="80"/>
      <c r="P107" s="82"/>
      <c r="Q107" s="82"/>
      <c r="R107" s="82"/>
    </row>
    <row r="108" spans="1:18" hidden="1" x14ac:dyDescent="0.25">
      <c r="A108" s="82"/>
      <c r="B108" s="82" t="s">
        <v>158</v>
      </c>
      <c r="C108" s="82"/>
      <c r="D108" s="82">
        <v>3</v>
      </c>
      <c r="E108" s="82" t="str">
        <f>Таблица3[[#Headers],[Первичная упаковка]]</f>
        <v>Первичная упаковка</v>
      </c>
      <c r="F108" s="82" t="e">
        <f>VLOOKUP($B108,#REF!,4,0)</f>
        <v>#REF!</v>
      </c>
      <c r="G108" s="82"/>
      <c r="H108" s="82"/>
      <c r="I108" s="82"/>
      <c r="J108" s="82"/>
      <c r="K108" s="82"/>
      <c r="L108" s="82"/>
      <c r="M108" s="82"/>
      <c r="N108" s="82"/>
      <c r="O108" s="80"/>
      <c r="P108" s="82"/>
      <c r="Q108" s="82"/>
      <c r="R108" s="82"/>
    </row>
    <row r="109" spans="1:18" hidden="1" x14ac:dyDescent="0.25">
      <c r="A109" s="82"/>
      <c r="B109" s="82" t="s">
        <v>158</v>
      </c>
      <c r="C109" s="82"/>
      <c r="D109" s="82">
        <v>4</v>
      </c>
      <c r="E109" s="82" t="str">
        <f>Таблица3[[#Headers],[Описание упаковки]]</f>
        <v>Описание упаковки</v>
      </c>
      <c r="F109" s="83" t="e">
        <f>VLOOKUP($B109,#REF!,5,0)</f>
        <v>#REF!</v>
      </c>
      <c r="G109" s="82"/>
      <c r="H109" s="80"/>
      <c r="I109" s="82"/>
      <c r="J109" s="82"/>
      <c r="K109" s="82"/>
      <c r="L109" s="82"/>
      <c r="M109" s="141"/>
      <c r="N109" s="142"/>
      <c r="O109" s="80"/>
      <c r="P109" s="82"/>
      <c r="Q109" s="82"/>
      <c r="R109" s="82"/>
    </row>
    <row r="110" spans="1:18" x14ac:dyDescent="0.25">
      <c r="A110" s="80">
        <v>28</v>
      </c>
      <c r="B110" s="80" t="s">
        <v>171</v>
      </c>
      <c r="C110" s="80" t="s">
        <v>171</v>
      </c>
      <c r="D110" s="80">
        <v>1</v>
      </c>
      <c r="E110" s="80" t="str">
        <f>Таблица3[[#Headers],[Лекарственная форма]]</f>
        <v>Лекарственная форма</v>
      </c>
      <c r="F110" s="81" t="e">
        <f>VLOOKUP($B110,#REF!,2,0)</f>
        <v>#REF!</v>
      </c>
      <c r="G110" s="80" t="e">
        <f>VLOOKUP($B110,#REF!,6,0)</f>
        <v>#REF!</v>
      </c>
      <c r="H110" s="80" t="e">
        <f>VLOOKUP($B110,'Анализ рынка'!$G:$AL,35,0)</f>
        <v>#N/A</v>
      </c>
      <c r="I110" s="80" t="e">
        <f t="shared" ref="I110" si="28">J110&amp;$J$1&amp;K110&amp;$K$1&amp;L110&amp;$L$1</f>
        <v>#REF!</v>
      </c>
      <c r="J110" s="80" t="e">
        <f>VLOOKUP($B110,#REF!,35,0)</f>
        <v>#REF!</v>
      </c>
      <c r="K110" s="80" t="e">
        <f>VLOOKUP($B110,#REF!,36,0)</f>
        <v>#REF!</v>
      </c>
      <c r="L110" s="80" t="e">
        <f>VLOOKUP($B110,#REF!,37,0)</f>
        <v>#REF!</v>
      </c>
      <c r="M110" s="141" t="e">
        <f>VLOOKUP($C110,ИТОГ!$D$8:$M$45,4,0)</f>
        <v>#N/A</v>
      </c>
      <c r="N110" s="142" t="e">
        <f t="shared" si="18"/>
        <v>#N/A</v>
      </c>
      <c r="O110" s="80" t="e">
        <f>VLOOKUP($C110,ИТОГ!$D$8:$M$45,9,0)</f>
        <v>#N/A</v>
      </c>
      <c r="P110" s="82"/>
      <c r="Q110" s="82"/>
      <c r="R110" s="82"/>
    </row>
    <row r="111" spans="1:18" hidden="1" x14ac:dyDescent="0.25">
      <c r="A111" s="82"/>
      <c r="B111" s="82" t="s">
        <v>171</v>
      </c>
      <c r="C111" s="82"/>
      <c r="D111" s="82">
        <v>2</v>
      </c>
      <c r="E111" s="82" t="str">
        <f>Таблица3[[#Headers],[Дозировка]]</f>
        <v>Дозировка</v>
      </c>
      <c r="F111" s="83" t="e">
        <f>VLOOKUP($B111,#REF!,3,0)</f>
        <v>#REF!</v>
      </c>
      <c r="G111" s="82"/>
      <c r="H111" s="80"/>
      <c r="I111" s="82"/>
      <c r="J111" s="82"/>
      <c r="K111" s="82"/>
      <c r="L111" s="82"/>
      <c r="M111" s="141"/>
      <c r="N111" s="142"/>
      <c r="O111" s="80"/>
      <c r="P111" s="82"/>
      <c r="Q111" s="82"/>
      <c r="R111" s="82"/>
    </row>
    <row r="112" spans="1:18" hidden="1" x14ac:dyDescent="0.25">
      <c r="A112" s="82"/>
      <c r="B112" s="82" t="s">
        <v>171</v>
      </c>
      <c r="C112" s="82"/>
      <c r="D112" s="82">
        <v>3</v>
      </c>
      <c r="E112" s="82" t="str">
        <f>Таблица3[[#Headers],[Первичная упаковка]]</f>
        <v>Первичная упаковка</v>
      </c>
      <c r="F112" s="83" t="e">
        <f>VLOOKUP($B112,#REF!,4,0)</f>
        <v>#REF!</v>
      </c>
      <c r="G112" s="82"/>
      <c r="H112" s="80"/>
      <c r="I112" s="82"/>
      <c r="J112" s="82"/>
      <c r="K112" s="82"/>
      <c r="L112" s="82"/>
      <c r="M112" s="141"/>
      <c r="N112" s="142"/>
      <c r="O112" s="80"/>
      <c r="P112" s="82"/>
      <c r="Q112" s="82"/>
      <c r="R112" s="82"/>
    </row>
    <row r="113" spans="1:18" hidden="1" x14ac:dyDescent="0.25">
      <c r="A113" s="82"/>
      <c r="B113" s="82" t="s">
        <v>171</v>
      </c>
      <c r="C113" s="82"/>
      <c r="D113" s="82">
        <v>4</v>
      </c>
      <c r="E113" s="82" t="str">
        <f>Таблица3[[#Headers],[Описание упаковки]]</f>
        <v>Описание упаковки</v>
      </c>
      <c r="F113" s="83" t="e">
        <f>VLOOKUP($B113,#REF!,5,0)</f>
        <v>#REF!</v>
      </c>
      <c r="G113" s="82"/>
      <c r="H113" s="80"/>
      <c r="I113" s="82"/>
      <c r="J113" s="82"/>
      <c r="K113" s="82"/>
      <c r="L113" s="82"/>
      <c r="M113" s="141"/>
      <c r="N113" s="142"/>
      <c r="O113" s="80"/>
      <c r="P113" s="82"/>
      <c r="Q113" s="82"/>
      <c r="R113" s="82"/>
    </row>
    <row r="114" spans="1:18" s="85" customFormat="1" x14ac:dyDescent="0.25">
      <c r="A114" s="84">
        <v>29</v>
      </c>
      <c r="B114" s="84" t="s">
        <v>173</v>
      </c>
      <c r="C114" s="84" t="s">
        <v>173</v>
      </c>
      <c r="D114" s="84">
        <v>1</v>
      </c>
      <c r="E114" s="84" t="str">
        <f>Таблица3[[#Headers],[Лекарственная форма]]</f>
        <v>Лекарственная форма</v>
      </c>
      <c r="F114" s="84" t="e">
        <f>VLOOKUP($B114,#REF!,2,0)</f>
        <v>#REF!</v>
      </c>
      <c r="G114" s="84" t="e">
        <f>VLOOKUP($B114,#REF!,6,0)</f>
        <v>#REF!</v>
      </c>
      <c r="H114" s="84" t="e">
        <f>VLOOKUP($B114,'Анализ рынка'!$G:$AL,35,0)</f>
        <v>#N/A</v>
      </c>
      <c r="I114" s="84" t="e">
        <f t="shared" ref="I114" si="29">J114&amp;$J$1&amp;K114&amp;$K$1&amp;L114&amp;$L$1</f>
        <v>#REF!</v>
      </c>
      <c r="J114" s="84" t="e">
        <f>VLOOKUP($B114,#REF!,35,0)</f>
        <v>#REF!</v>
      </c>
      <c r="K114" s="84" t="e">
        <f>VLOOKUP($B114,#REF!,36,0)</f>
        <v>#REF!</v>
      </c>
      <c r="L114" s="84" t="e">
        <f>VLOOKUP($B114,#REF!,37,0)</f>
        <v>#REF!</v>
      </c>
      <c r="M114" s="86"/>
      <c r="N114" s="86"/>
      <c r="O114" s="86"/>
      <c r="P114" s="86"/>
      <c r="Q114" s="86"/>
      <c r="R114" s="86"/>
    </row>
    <row r="115" spans="1:18" s="85" customFormat="1" hidden="1" x14ac:dyDescent="0.25">
      <c r="A115" s="86"/>
      <c r="B115" s="86" t="s">
        <v>173</v>
      </c>
      <c r="C115" s="86"/>
      <c r="D115" s="86">
        <v>2</v>
      </c>
      <c r="E115" s="86" t="str">
        <f>Таблица3[[#Headers],[Дозировка]]</f>
        <v>Дозировка</v>
      </c>
      <c r="F115" s="86" t="e">
        <f>VLOOKUP($B115,#REF!,3,0)</f>
        <v>#REF!</v>
      </c>
      <c r="G115" s="86"/>
      <c r="H115" s="84"/>
      <c r="I115" s="86"/>
      <c r="J115" s="86"/>
      <c r="K115" s="86"/>
      <c r="L115" s="86"/>
      <c r="M115" s="86"/>
      <c r="N115" s="86"/>
      <c r="O115" s="86"/>
      <c r="P115" s="86"/>
      <c r="Q115" s="86"/>
      <c r="R115" s="86"/>
    </row>
    <row r="116" spans="1:18" s="85" customFormat="1" hidden="1" x14ac:dyDescent="0.25">
      <c r="A116" s="86"/>
      <c r="B116" s="86" t="s">
        <v>173</v>
      </c>
      <c r="C116" s="86"/>
      <c r="D116" s="86">
        <v>3</v>
      </c>
      <c r="E116" s="86" t="str">
        <f>Таблица3[[#Headers],[Первичная упаковка]]</f>
        <v>Первичная упаковка</v>
      </c>
      <c r="F116" s="86" t="e">
        <f>VLOOKUP($B116,#REF!,4,0)</f>
        <v>#REF!</v>
      </c>
      <c r="G116" s="86"/>
      <c r="H116" s="84"/>
      <c r="I116" s="86"/>
      <c r="J116" s="86"/>
      <c r="K116" s="86"/>
      <c r="L116" s="86"/>
      <c r="M116" s="86"/>
      <c r="N116" s="86"/>
      <c r="O116" s="86"/>
      <c r="P116" s="86"/>
      <c r="Q116" s="86"/>
      <c r="R116" s="86"/>
    </row>
    <row r="117" spans="1:18" s="85" customFormat="1" hidden="1" x14ac:dyDescent="0.25">
      <c r="A117" s="86"/>
      <c r="B117" s="86" t="s">
        <v>173</v>
      </c>
      <c r="C117" s="86"/>
      <c r="D117" s="86">
        <v>4</v>
      </c>
      <c r="E117" s="86" t="str">
        <f>Таблица3[[#Headers],[Описание упаковки]]</f>
        <v>Описание упаковки</v>
      </c>
      <c r="F117" s="86" t="e">
        <f>VLOOKUP($B117,#REF!,5,0)</f>
        <v>#REF!</v>
      </c>
      <c r="G117" s="86"/>
      <c r="H117" s="84"/>
      <c r="I117" s="86"/>
      <c r="J117" s="86"/>
      <c r="K117" s="86"/>
      <c r="L117" s="86"/>
      <c r="M117" s="86"/>
      <c r="N117" s="86"/>
      <c r="O117" s="86"/>
      <c r="P117" s="86"/>
      <c r="Q117" s="86"/>
      <c r="R117" s="86"/>
    </row>
    <row r="118" spans="1:18" s="85" customFormat="1" x14ac:dyDescent="0.25">
      <c r="A118" s="84">
        <v>30</v>
      </c>
      <c r="B118" s="84" t="s">
        <v>174</v>
      </c>
      <c r="C118" s="84" t="s">
        <v>174</v>
      </c>
      <c r="D118" s="84">
        <v>1</v>
      </c>
      <c r="E118" s="84" t="str">
        <f>Таблица3[[#Headers],[Лекарственная форма]]</f>
        <v>Лекарственная форма</v>
      </c>
      <c r="F118" s="84" t="e">
        <f>VLOOKUP($B118,#REF!,2,0)</f>
        <v>#REF!</v>
      </c>
      <c r="G118" s="84" t="e">
        <f>VLOOKUP($B118,#REF!,6,0)</f>
        <v>#REF!</v>
      </c>
      <c r="H118" s="84" t="e">
        <f>VLOOKUP($B118,'Анализ рынка'!$G:$AL,35,0)</f>
        <v>#N/A</v>
      </c>
      <c r="I118" s="84" t="e">
        <f t="shared" ref="I118" si="30">J118&amp;$J$1&amp;K118&amp;$K$1&amp;L118&amp;$L$1</f>
        <v>#REF!</v>
      </c>
      <c r="J118" s="84" t="e">
        <f>VLOOKUP($B118,#REF!,35,0)</f>
        <v>#REF!</v>
      </c>
      <c r="K118" s="84" t="e">
        <f>VLOOKUP($B118,#REF!,36,0)</f>
        <v>#REF!</v>
      </c>
      <c r="L118" s="84" t="e">
        <f>VLOOKUP($B118,#REF!,37,0)</f>
        <v>#REF!</v>
      </c>
      <c r="M118" s="86"/>
      <c r="N118" s="86"/>
      <c r="O118" s="86"/>
      <c r="P118" s="86"/>
      <c r="Q118" s="86"/>
      <c r="R118" s="86"/>
    </row>
    <row r="119" spans="1:18" s="85" customFormat="1" hidden="1" x14ac:dyDescent="0.25">
      <c r="A119" s="86"/>
      <c r="B119" s="86" t="s">
        <v>174</v>
      </c>
      <c r="C119" s="86"/>
      <c r="D119" s="86">
        <v>2</v>
      </c>
      <c r="E119" s="86" t="str">
        <f>Таблица3[[#Headers],[Дозировка]]</f>
        <v>Дозировка</v>
      </c>
      <c r="F119" s="86" t="e">
        <f>VLOOKUP($B119,#REF!,3,0)</f>
        <v>#REF!</v>
      </c>
      <c r="G119" s="86"/>
      <c r="H119" s="84"/>
      <c r="I119" s="86"/>
      <c r="J119" s="86"/>
      <c r="K119" s="86"/>
      <c r="L119" s="86"/>
      <c r="M119" s="86"/>
      <c r="N119" s="86"/>
      <c r="O119" s="86"/>
      <c r="P119" s="86"/>
      <c r="Q119" s="86"/>
      <c r="R119" s="86"/>
    </row>
    <row r="120" spans="1:18" s="85" customFormat="1" hidden="1" x14ac:dyDescent="0.25">
      <c r="A120" s="86"/>
      <c r="B120" s="86" t="s">
        <v>174</v>
      </c>
      <c r="C120" s="86"/>
      <c r="D120" s="86">
        <v>3</v>
      </c>
      <c r="E120" s="86" t="str">
        <f>Таблица3[[#Headers],[Первичная упаковка]]</f>
        <v>Первичная упаковка</v>
      </c>
      <c r="F120" s="86" t="e">
        <f>VLOOKUP($B120,#REF!,4,0)</f>
        <v>#REF!</v>
      </c>
      <c r="G120" s="86"/>
      <c r="H120" s="84"/>
      <c r="I120" s="86"/>
      <c r="J120" s="86"/>
      <c r="K120" s="86"/>
      <c r="L120" s="86"/>
      <c r="M120" s="86"/>
      <c r="N120" s="86"/>
      <c r="O120" s="86"/>
      <c r="P120" s="86"/>
      <c r="Q120" s="86"/>
      <c r="R120" s="86"/>
    </row>
    <row r="121" spans="1:18" s="85" customFormat="1" hidden="1" x14ac:dyDescent="0.25">
      <c r="A121" s="86"/>
      <c r="B121" s="86" t="s">
        <v>174</v>
      </c>
      <c r="C121" s="86"/>
      <c r="D121" s="86">
        <v>4</v>
      </c>
      <c r="E121" s="86" t="str">
        <f>Таблица3[[#Headers],[Описание упаковки]]</f>
        <v>Описание упаковки</v>
      </c>
      <c r="F121" s="86" t="e">
        <f>VLOOKUP($B121,#REF!,5,0)</f>
        <v>#REF!</v>
      </c>
      <c r="G121" s="86"/>
      <c r="H121" s="84"/>
      <c r="I121" s="86"/>
      <c r="J121" s="86"/>
      <c r="K121" s="86"/>
      <c r="L121" s="86"/>
      <c r="M121" s="86"/>
      <c r="N121" s="86"/>
      <c r="O121" s="86"/>
      <c r="P121" s="86"/>
      <c r="Q121" s="86"/>
      <c r="R121" s="86"/>
    </row>
    <row r="122" spans="1:18" x14ac:dyDescent="0.25">
      <c r="A122" s="80">
        <v>31</v>
      </c>
      <c r="B122" s="80" t="s">
        <v>172</v>
      </c>
      <c r="C122" s="80" t="s">
        <v>172</v>
      </c>
      <c r="D122" s="80">
        <v>1</v>
      </c>
      <c r="E122" s="80" t="str">
        <f>Таблица3[[#Headers],[Лекарственная форма]]</f>
        <v>Лекарственная форма</v>
      </c>
      <c r="F122" s="81" t="e">
        <f>VLOOKUP($B122,#REF!,2,0)</f>
        <v>#REF!</v>
      </c>
      <c r="G122" s="80" t="e">
        <f>VLOOKUP($B122,#REF!,6,0)</f>
        <v>#REF!</v>
      </c>
      <c r="H122" s="80" t="e">
        <f>VLOOKUP($B122,'Анализ рынка'!$G:$AL,35,0)</f>
        <v>#REF!</v>
      </c>
      <c r="I122" s="80" t="e">
        <f t="shared" ref="I122" si="31">J122&amp;$J$1&amp;K122&amp;$K$1&amp;L122&amp;$L$1</f>
        <v>#REF!</v>
      </c>
      <c r="J122" s="80" t="e">
        <f>VLOOKUP($B122,#REF!,35,0)</f>
        <v>#REF!</v>
      </c>
      <c r="K122" s="80" t="e">
        <f>VLOOKUP($B122,#REF!,36,0)</f>
        <v>#REF!</v>
      </c>
      <c r="L122" s="80" t="e">
        <f>VLOOKUP($B122,#REF!,37,0)</f>
        <v>#REF!</v>
      </c>
      <c r="M122" s="141" t="e">
        <f>VLOOKUP($C122,ИТОГ!$D$8:$M$45,4,0)</f>
        <v>#N/A</v>
      </c>
      <c r="N122" s="142" t="e">
        <f t="shared" si="18"/>
        <v>#N/A</v>
      </c>
      <c r="O122" s="80" t="e">
        <f>VLOOKUP($C122,ИТОГ!$D$8:$M$45,9,0)</f>
        <v>#N/A</v>
      </c>
      <c r="P122" s="82"/>
      <c r="Q122" s="82"/>
      <c r="R122" s="82"/>
    </row>
    <row r="123" spans="1:18" hidden="1" x14ac:dyDescent="0.25">
      <c r="A123" s="82"/>
      <c r="B123" s="82" t="s">
        <v>172</v>
      </c>
      <c r="C123" s="82"/>
      <c r="D123" s="82">
        <v>2</v>
      </c>
      <c r="E123" s="82" t="str">
        <f>Таблица3[[#Headers],[Дозировка]]</f>
        <v>Дозировка</v>
      </c>
      <c r="F123" s="83" t="e">
        <f>VLOOKUP($B123,#REF!,3,0)</f>
        <v>#REF!</v>
      </c>
      <c r="G123" s="82"/>
      <c r="H123" s="80"/>
      <c r="I123" s="82"/>
      <c r="J123" s="82"/>
      <c r="K123" s="82"/>
      <c r="L123" s="82"/>
      <c r="M123" s="141"/>
      <c r="N123" s="142"/>
      <c r="O123" s="80"/>
      <c r="P123" s="82"/>
      <c r="Q123" s="82"/>
      <c r="R123" s="82"/>
    </row>
    <row r="124" spans="1:18" hidden="1" x14ac:dyDescent="0.25">
      <c r="A124" s="82"/>
      <c r="B124" s="82" t="s">
        <v>172</v>
      </c>
      <c r="C124" s="82"/>
      <c r="D124" s="82">
        <v>3</v>
      </c>
      <c r="E124" s="82" t="str">
        <f>Таблица3[[#Headers],[Первичная упаковка]]</f>
        <v>Первичная упаковка</v>
      </c>
      <c r="F124" s="82" t="e">
        <f>VLOOKUP($B124,#REF!,4,0)</f>
        <v>#REF!</v>
      </c>
      <c r="G124" s="82"/>
      <c r="H124" s="82"/>
      <c r="I124" s="82"/>
      <c r="J124" s="82"/>
      <c r="K124" s="82"/>
      <c r="L124" s="82"/>
      <c r="M124" s="82"/>
      <c r="N124" s="82"/>
      <c r="O124" s="80"/>
      <c r="P124" s="82"/>
      <c r="Q124" s="82"/>
      <c r="R124" s="82"/>
    </row>
    <row r="125" spans="1:18" hidden="1" x14ac:dyDescent="0.25">
      <c r="A125" s="82"/>
      <c r="B125" s="82" t="s">
        <v>172</v>
      </c>
      <c r="C125" s="82"/>
      <c r="D125" s="82">
        <v>4</v>
      </c>
      <c r="E125" s="82" t="str">
        <f>Таблица3[[#Headers],[Описание упаковки]]</f>
        <v>Описание упаковки</v>
      </c>
      <c r="F125" s="83" t="e">
        <f>VLOOKUP($B125,#REF!,5,0)</f>
        <v>#REF!</v>
      </c>
      <c r="G125" s="82"/>
      <c r="H125" s="80"/>
      <c r="I125" s="82"/>
      <c r="J125" s="82"/>
      <c r="K125" s="82"/>
      <c r="L125" s="82"/>
      <c r="M125" s="141"/>
      <c r="N125" s="142"/>
      <c r="O125" s="80"/>
      <c r="P125" s="82"/>
      <c r="Q125" s="82"/>
      <c r="R125" s="82"/>
    </row>
    <row r="126" spans="1:18" hidden="1" x14ac:dyDescent="0.25">
      <c r="A126" s="80">
        <v>32</v>
      </c>
      <c r="B126" s="80"/>
      <c r="C126" s="80"/>
      <c r="D126" s="80">
        <v>1</v>
      </c>
      <c r="E126" s="80" t="str">
        <f>Таблица3[[#Headers],[Лекарственная форма]]</f>
        <v>Лекарственная форма</v>
      </c>
      <c r="F126" s="81" t="e">
        <f>VLOOKUP($B126,#REF!,2,0)</f>
        <v>#REF!</v>
      </c>
      <c r="G126" s="80" t="e">
        <f>VLOOKUP($B126,#REF!,6,0)</f>
        <v>#REF!</v>
      </c>
      <c r="H126" s="80"/>
      <c r="I126" s="80" t="e">
        <f t="shared" ref="I126" si="32">J126&amp;$J$1&amp;K126&amp;$K$1&amp;L126&amp;$L$1</f>
        <v>#REF!</v>
      </c>
      <c r="J126" s="80" t="e">
        <f>VLOOKUP($B126,#REF!,35,0)</f>
        <v>#REF!</v>
      </c>
      <c r="K126" s="80" t="e">
        <f>VLOOKUP($B126,#REF!,36,0)</f>
        <v>#REF!</v>
      </c>
      <c r="L126" s="80" t="e">
        <f>VLOOKUP($B126,#REF!,37,0)</f>
        <v>#REF!</v>
      </c>
      <c r="M126" s="82"/>
      <c r="N126" s="82"/>
      <c r="O126" s="80"/>
      <c r="P126" s="82"/>
      <c r="Q126" s="82"/>
      <c r="R126" s="82"/>
    </row>
    <row r="127" spans="1:18" hidden="1" x14ac:dyDescent="0.25">
      <c r="A127" s="82"/>
      <c r="B127" s="82"/>
      <c r="C127" s="82"/>
      <c r="D127" s="82">
        <v>2</v>
      </c>
      <c r="E127" s="82" t="str">
        <f>Таблица3[[#Headers],[Дозировка]]</f>
        <v>Дозировка</v>
      </c>
      <c r="F127" s="83" t="e">
        <f>VLOOKUP($B127,#REF!,3,0)</f>
        <v>#REF!</v>
      </c>
      <c r="G127" s="82"/>
      <c r="H127" s="80"/>
      <c r="I127" s="82"/>
      <c r="J127" s="82"/>
      <c r="K127" s="82"/>
      <c r="L127" s="82"/>
      <c r="M127" s="82"/>
      <c r="N127" s="82"/>
      <c r="O127" s="80"/>
      <c r="P127" s="82"/>
      <c r="Q127" s="82"/>
      <c r="R127" s="82"/>
    </row>
    <row r="128" spans="1:18" hidden="1" x14ac:dyDescent="0.25">
      <c r="A128" s="82"/>
      <c r="B128" s="82"/>
      <c r="C128" s="82"/>
      <c r="D128" s="82">
        <v>3</v>
      </c>
      <c r="E128" s="82" t="str">
        <f>Таблица3[[#Headers],[Первичная упаковка]]</f>
        <v>Первичная упаковка</v>
      </c>
      <c r="F128" s="83" t="e">
        <f>VLOOKUP($B128,#REF!,4,0)</f>
        <v>#REF!</v>
      </c>
      <c r="G128" s="82"/>
      <c r="H128" s="80"/>
      <c r="I128" s="82"/>
      <c r="J128" s="82"/>
      <c r="K128" s="82"/>
      <c r="L128" s="82"/>
      <c r="M128" s="82"/>
      <c r="N128" s="82"/>
      <c r="O128" s="80"/>
      <c r="P128" s="82"/>
      <c r="Q128" s="82"/>
      <c r="R128" s="82"/>
    </row>
    <row r="129" spans="1:18" hidden="1" x14ac:dyDescent="0.25">
      <c r="A129" s="82"/>
      <c r="B129" s="82"/>
      <c r="C129" s="82"/>
      <c r="D129" s="82">
        <v>4</v>
      </c>
      <c r="E129" s="82" t="str">
        <f>Таблица3[[#Headers],[Описание упаковки]]</f>
        <v>Описание упаковки</v>
      </c>
      <c r="F129" s="83" t="e">
        <f>VLOOKUP($B129,#REF!,5,0)</f>
        <v>#REF!</v>
      </c>
      <c r="G129" s="82"/>
      <c r="H129" s="80"/>
      <c r="I129" s="82"/>
      <c r="J129" s="82"/>
      <c r="K129" s="82"/>
      <c r="L129" s="82"/>
      <c r="M129" s="82"/>
      <c r="N129" s="82"/>
      <c r="O129" s="80"/>
      <c r="P129" s="82"/>
      <c r="Q129" s="82"/>
      <c r="R129" s="82"/>
    </row>
    <row r="130" spans="1:18" hidden="1" x14ac:dyDescent="0.25">
      <c r="A130" s="80">
        <v>33</v>
      </c>
      <c r="B130" s="80"/>
      <c r="C130" s="80"/>
      <c r="D130" s="80">
        <v>1</v>
      </c>
      <c r="E130" s="80" t="str">
        <f>Таблица3[[#Headers],[Лекарственная форма]]</f>
        <v>Лекарственная форма</v>
      </c>
      <c r="F130" s="81" t="e">
        <f>VLOOKUP($B130,#REF!,2,0)</f>
        <v>#REF!</v>
      </c>
      <c r="G130" s="80" t="e">
        <f>VLOOKUP($B130,#REF!,6,0)</f>
        <v>#REF!</v>
      </c>
      <c r="H130" s="80"/>
      <c r="I130" s="80" t="e">
        <f t="shared" ref="I130" si="33">J130&amp;$J$1&amp;K130&amp;$K$1&amp;L130&amp;$L$1</f>
        <v>#REF!</v>
      </c>
      <c r="J130" s="80" t="e">
        <f>VLOOKUP($B130,#REF!,35,0)</f>
        <v>#REF!</v>
      </c>
      <c r="K130" s="80" t="e">
        <f>VLOOKUP($B130,#REF!,36,0)</f>
        <v>#REF!</v>
      </c>
      <c r="L130" s="80" t="e">
        <f>VLOOKUP($B130,#REF!,37,0)</f>
        <v>#REF!</v>
      </c>
      <c r="M130" s="82"/>
      <c r="N130" s="82"/>
      <c r="O130" s="80"/>
      <c r="P130" s="82"/>
      <c r="Q130" s="82"/>
      <c r="R130" s="82"/>
    </row>
    <row r="131" spans="1:18" hidden="1" x14ac:dyDescent="0.25">
      <c r="A131" s="82"/>
      <c r="B131" s="82"/>
      <c r="C131" s="82"/>
      <c r="D131" s="82">
        <v>2</v>
      </c>
      <c r="E131" s="82" t="str">
        <f>Таблица3[[#Headers],[Дозировка]]</f>
        <v>Дозировка</v>
      </c>
      <c r="F131" s="83" t="e">
        <f>VLOOKUP($B131,#REF!,3,0)</f>
        <v>#REF!</v>
      </c>
      <c r="G131" s="82"/>
      <c r="H131" s="80"/>
      <c r="I131" s="82"/>
      <c r="J131" s="82"/>
      <c r="K131" s="82"/>
      <c r="L131" s="82"/>
      <c r="M131" s="82"/>
      <c r="N131" s="82"/>
      <c r="O131" s="80"/>
      <c r="P131" s="82"/>
      <c r="Q131" s="82"/>
      <c r="R131" s="82"/>
    </row>
    <row r="132" spans="1:18" hidden="1" x14ac:dyDescent="0.25">
      <c r="A132" s="82"/>
      <c r="B132" s="82"/>
      <c r="C132" s="82"/>
      <c r="D132" s="82">
        <v>3</v>
      </c>
      <c r="E132" s="82" t="str">
        <f>Таблица3[[#Headers],[Первичная упаковка]]</f>
        <v>Первичная упаковка</v>
      </c>
      <c r="F132" s="83" t="e">
        <f>VLOOKUP($B132,#REF!,4,0)</f>
        <v>#REF!</v>
      </c>
      <c r="G132" s="82"/>
      <c r="H132" s="80"/>
      <c r="I132" s="82"/>
      <c r="J132" s="82"/>
      <c r="K132" s="82"/>
      <c r="L132" s="82"/>
      <c r="M132" s="82"/>
      <c r="N132" s="82"/>
      <c r="O132" s="80"/>
      <c r="P132" s="82"/>
      <c r="Q132" s="82"/>
      <c r="R132" s="82"/>
    </row>
    <row r="133" spans="1:18" hidden="1" x14ac:dyDescent="0.25">
      <c r="A133" s="82"/>
      <c r="B133" s="82"/>
      <c r="C133" s="82"/>
      <c r="D133" s="82">
        <v>4</v>
      </c>
      <c r="E133" s="82" t="str">
        <f>Таблица3[[#Headers],[Описание упаковки]]</f>
        <v>Описание упаковки</v>
      </c>
      <c r="F133" s="83" t="e">
        <f>VLOOKUP($B133,#REF!,5,0)</f>
        <v>#REF!</v>
      </c>
      <c r="G133" s="82"/>
      <c r="H133" s="80"/>
      <c r="I133" s="82"/>
      <c r="J133" s="82"/>
      <c r="K133" s="82"/>
      <c r="L133" s="82"/>
      <c r="M133" s="82"/>
      <c r="N133" s="82"/>
      <c r="O133" s="80"/>
      <c r="P133" s="82"/>
      <c r="Q133" s="82"/>
      <c r="R133" s="82"/>
    </row>
    <row r="134" spans="1:18" hidden="1" x14ac:dyDescent="0.25">
      <c r="A134" s="80">
        <v>34</v>
      </c>
      <c r="B134" s="80"/>
      <c r="C134" s="80"/>
      <c r="D134" s="80">
        <v>1</v>
      </c>
      <c r="E134" s="80" t="str">
        <f>Таблица3[[#Headers],[Лекарственная форма]]</f>
        <v>Лекарственная форма</v>
      </c>
      <c r="F134" s="81" t="e">
        <f>VLOOKUP($B134,#REF!,2,0)</f>
        <v>#REF!</v>
      </c>
      <c r="G134" s="80" t="e">
        <f>VLOOKUP($B134,#REF!,6,0)</f>
        <v>#REF!</v>
      </c>
      <c r="H134" s="80"/>
      <c r="I134" s="80" t="e">
        <f t="shared" ref="I134" si="34">J134&amp;$J$1&amp;K134&amp;$K$1&amp;L134&amp;$L$1</f>
        <v>#REF!</v>
      </c>
      <c r="J134" s="80" t="e">
        <f>VLOOKUP($B134,#REF!,35,0)</f>
        <v>#REF!</v>
      </c>
      <c r="K134" s="80" t="e">
        <f>VLOOKUP($B134,#REF!,36,0)</f>
        <v>#REF!</v>
      </c>
      <c r="L134" s="80" t="e">
        <f>VLOOKUP($B134,#REF!,37,0)</f>
        <v>#REF!</v>
      </c>
      <c r="M134" s="82"/>
      <c r="N134" s="82"/>
      <c r="O134" s="80"/>
      <c r="P134" s="82"/>
      <c r="Q134" s="82"/>
      <c r="R134" s="82"/>
    </row>
    <row r="135" spans="1:18" hidden="1" x14ac:dyDescent="0.25">
      <c r="A135" s="82"/>
      <c r="B135" s="82"/>
      <c r="C135" s="82"/>
      <c r="D135" s="82">
        <v>2</v>
      </c>
      <c r="E135" s="82" t="str">
        <f>Таблица3[[#Headers],[Дозировка]]</f>
        <v>Дозировка</v>
      </c>
      <c r="F135" s="83" t="e">
        <f>VLOOKUP($B135,#REF!,3,0)</f>
        <v>#REF!</v>
      </c>
      <c r="G135" s="82"/>
      <c r="H135" s="80"/>
      <c r="I135" s="82"/>
      <c r="J135" s="82"/>
      <c r="K135" s="82"/>
      <c r="L135" s="82"/>
      <c r="M135" s="82"/>
      <c r="N135" s="82"/>
      <c r="O135" s="80"/>
      <c r="P135" s="82"/>
      <c r="Q135" s="82"/>
      <c r="R135" s="82"/>
    </row>
    <row r="136" spans="1:18" hidden="1" x14ac:dyDescent="0.25">
      <c r="A136" s="82"/>
      <c r="B136" s="82"/>
      <c r="C136" s="82"/>
      <c r="D136" s="82">
        <v>3</v>
      </c>
      <c r="E136" s="82" t="str">
        <f>Таблица3[[#Headers],[Первичная упаковка]]</f>
        <v>Первичная упаковка</v>
      </c>
      <c r="F136" s="83" t="e">
        <f>VLOOKUP($B136,#REF!,4,0)</f>
        <v>#REF!</v>
      </c>
      <c r="G136" s="82"/>
      <c r="H136" s="80"/>
      <c r="I136" s="82"/>
      <c r="J136" s="82"/>
      <c r="K136" s="82"/>
      <c r="L136" s="82"/>
      <c r="M136" s="82"/>
      <c r="N136" s="82"/>
      <c r="O136" s="80"/>
      <c r="P136" s="82"/>
      <c r="Q136" s="82"/>
      <c r="R136" s="82"/>
    </row>
    <row r="137" spans="1:18" hidden="1" x14ac:dyDescent="0.25">
      <c r="A137" s="82"/>
      <c r="B137" s="82"/>
      <c r="C137" s="82"/>
      <c r="D137" s="82">
        <v>4</v>
      </c>
      <c r="E137" s="82" t="str">
        <f>Таблица3[[#Headers],[Описание упаковки]]</f>
        <v>Описание упаковки</v>
      </c>
      <c r="F137" s="83" t="e">
        <f>VLOOKUP($B137,#REF!,5,0)</f>
        <v>#REF!</v>
      </c>
      <c r="G137" s="82"/>
      <c r="H137" s="80"/>
      <c r="I137" s="82"/>
      <c r="J137" s="82"/>
      <c r="K137" s="82"/>
      <c r="L137" s="82"/>
      <c r="M137" s="82"/>
      <c r="N137" s="82"/>
      <c r="O137" s="80"/>
      <c r="P137" s="82"/>
      <c r="Q137" s="82"/>
      <c r="R137" s="82"/>
    </row>
    <row r="138" spans="1:18" x14ac:dyDescent="0.25">
      <c r="N138" s="57" t="e">
        <f>SUBTOTAL(9,N2:N125)</f>
        <v>#N/A</v>
      </c>
    </row>
  </sheetData>
  <autoFilter ref="A1:R137" xr:uid="{00000000-0009-0000-0000-000002000000}">
    <filterColumn colId="2">
      <customFilters>
        <customFilter operator="notEqual" val=" "/>
      </customFilters>
    </filterColumn>
  </autoFilter>
  <conditionalFormatting sqref="O1:O1048576">
    <cfRule type="duplicateValues" dxfId="1"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258"/>
  <sheetViews>
    <sheetView zoomScale="80" zoomScaleNormal="80" workbookViewId="0">
      <pane xSplit="11" ySplit="7" topLeftCell="L8" activePane="bottomRight" state="frozen"/>
      <selection pane="topRight" activeCell="J1" sqref="J1"/>
      <selection pane="bottomLeft" activeCell="A8" sqref="A8"/>
      <selection pane="bottomRight" activeCell="N19" sqref="N19"/>
    </sheetView>
  </sheetViews>
  <sheetFormatPr defaultColWidth="9.140625" defaultRowHeight="15" x14ac:dyDescent="0.2"/>
  <cols>
    <col min="1" max="1" width="3.42578125" style="60" hidden="1" customWidth="1"/>
    <col min="2" max="2" width="5" style="60" customWidth="1"/>
    <col min="3" max="3" width="16.28515625" style="60" hidden="1" customWidth="1"/>
    <col min="4" max="4" width="5.42578125" style="60" customWidth="1"/>
    <col min="5" max="5" width="5.5703125" style="60" hidden="1" customWidth="1"/>
    <col min="6" max="6" width="17.5703125" style="60" customWidth="1"/>
    <col min="7" max="7" width="22.140625" style="111" customWidth="1"/>
    <col min="8" max="8" width="35.5703125" style="65" hidden="1" customWidth="1"/>
    <col min="9" max="9" width="16.28515625" style="114" hidden="1" customWidth="1"/>
    <col min="10" max="10" width="9.28515625" style="161" hidden="1" customWidth="1"/>
    <col min="11" max="11" width="15.7109375" style="60" hidden="1" customWidth="1"/>
    <col min="12" max="12" width="6.85546875" style="60" customWidth="1"/>
    <col min="13" max="13" width="9.5703125" style="65" customWidth="1"/>
    <col min="14" max="14" width="5.140625" style="65" customWidth="1"/>
    <col min="15" max="15" width="9.5703125" style="65" customWidth="1"/>
    <col min="16" max="16" width="5.140625" style="298" customWidth="1"/>
    <col min="17" max="17" width="5.140625" style="65" customWidth="1"/>
    <col min="18" max="18" width="9.140625" style="65" customWidth="1"/>
    <col min="19" max="19" width="9.5703125" style="65" customWidth="1"/>
    <col min="20" max="20" width="5.140625" style="65" customWidth="1"/>
    <col min="21" max="21" width="9.5703125" style="65" customWidth="1"/>
    <col min="22" max="22" width="5.140625" style="298" customWidth="1"/>
    <col min="23" max="23" width="5.140625" style="65" customWidth="1"/>
    <col min="24" max="24" width="9.140625" style="65" customWidth="1"/>
    <col min="25" max="25" width="9.5703125" style="65" customWidth="1"/>
    <col min="26" max="26" width="7.7109375" style="65" customWidth="1"/>
    <col min="27" max="27" width="9.5703125" style="65" customWidth="1"/>
    <col min="28" max="28" width="5.140625" style="298" customWidth="1"/>
    <col min="29" max="29" width="5.140625" style="116" customWidth="1"/>
    <col min="30" max="30" width="9.140625" style="116" customWidth="1"/>
    <col min="31" max="31" width="8.85546875" style="273" customWidth="1"/>
    <col min="32" max="32" width="5.28515625" style="270" hidden="1" customWidth="1"/>
    <col min="33" max="33" width="5.42578125" style="285" hidden="1" customWidth="1"/>
    <col min="34" max="34" width="5.140625" style="285" hidden="1" customWidth="1"/>
    <col min="35" max="35" width="9.140625" style="285" customWidth="1"/>
    <col min="36" max="36" width="8.28515625" style="285" customWidth="1"/>
    <col min="37" max="37" width="11.5703125" style="286" customWidth="1"/>
    <col min="38" max="38" width="15.28515625" style="275" customWidth="1"/>
    <col min="39" max="39" width="13.7109375" style="164" customWidth="1"/>
    <col min="40" max="40" width="14" style="60" customWidth="1"/>
    <col min="41" max="16384" width="9.140625" style="60"/>
  </cols>
  <sheetData>
    <row r="1" spans="1:40" ht="14.25" x14ac:dyDescent="0.2">
      <c r="B1" s="59"/>
      <c r="C1" s="59"/>
      <c r="D1" s="59"/>
      <c r="E1" s="59"/>
      <c r="F1" s="59" t="s">
        <v>419</v>
      </c>
      <c r="H1" s="104"/>
      <c r="I1" s="59"/>
      <c r="J1" s="59"/>
      <c r="K1" s="59"/>
      <c r="L1" s="59"/>
      <c r="M1" s="104"/>
      <c r="N1" s="104"/>
      <c r="O1" s="104"/>
      <c r="P1" s="270"/>
      <c r="Q1" s="104"/>
      <c r="R1" s="271"/>
      <c r="S1" s="104"/>
      <c r="T1" s="104"/>
      <c r="U1" s="104"/>
      <c r="V1" s="270"/>
      <c r="W1" s="104"/>
      <c r="X1" s="104"/>
      <c r="Y1" s="104"/>
      <c r="Z1" s="104"/>
      <c r="AA1" s="104"/>
      <c r="AB1" s="270"/>
      <c r="AC1" s="272"/>
      <c r="AD1" s="272"/>
      <c r="AG1" s="65"/>
      <c r="AH1" s="65"/>
      <c r="AI1" s="65"/>
      <c r="AJ1" s="65"/>
      <c r="AK1" s="274"/>
    </row>
    <row r="2" spans="1:40" s="15" customFormat="1" x14ac:dyDescent="0.25">
      <c r="B2" s="75"/>
      <c r="C2" s="75"/>
      <c r="D2" s="75"/>
      <c r="E2" s="75"/>
      <c r="F2" s="75"/>
      <c r="H2" s="105"/>
      <c r="I2" s="113"/>
      <c r="J2" s="160"/>
      <c r="K2" s="61"/>
      <c r="L2" s="61"/>
      <c r="M2" s="276"/>
      <c r="N2" s="277"/>
      <c r="O2" s="276"/>
      <c r="P2" s="276"/>
      <c r="Q2" s="278"/>
      <c r="R2" s="278"/>
      <c r="S2" s="278"/>
      <c r="T2" s="278"/>
      <c r="U2" s="278"/>
      <c r="V2" s="278"/>
      <c r="W2" s="278"/>
      <c r="X2" s="278"/>
      <c r="Y2" s="278"/>
      <c r="Z2" s="278"/>
      <c r="AA2" s="278"/>
      <c r="AB2" s="278"/>
      <c r="AC2" s="278"/>
      <c r="AD2" s="278"/>
      <c r="AE2" s="279"/>
      <c r="AF2" s="271"/>
      <c r="AG2" s="105"/>
      <c r="AH2" s="105"/>
      <c r="AI2" s="105"/>
      <c r="AJ2" s="105"/>
      <c r="AK2" s="280"/>
      <c r="AL2" s="281"/>
      <c r="AM2" s="165"/>
    </row>
    <row r="3" spans="1:40" s="15" customFormat="1" ht="52.5" customHeight="1" x14ac:dyDescent="0.25">
      <c r="B3" s="130"/>
      <c r="C3" s="130"/>
      <c r="D3" s="130"/>
      <c r="E3" s="130"/>
      <c r="F3" s="354" t="s">
        <v>30</v>
      </c>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280"/>
      <c r="AL3" s="281"/>
      <c r="AM3" s="165"/>
    </row>
    <row r="4" spans="1:40" ht="14.25" x14ac:dyDescent="0.2">
      <c r="B4" s="76"/>
      <c r="C4" s="76"/>
      <c r="D4" s="76"/>
      <c r="E4" s="76"/>
      <c r="F4" s="76" t="s">
        <v>3</v>
      </c>
      <c r="H4" s="104"/>
      <c r="I4" s="111"/>
      <c r="J4" s="62"/>
      <c r="K4" s="62"/>
      <c r="L4" s="62"/>
      <c r="M4" s="282"/>
      <c r="N4" s="282"/>
      <c r="O4" s="282"/>
      <c r="P4" s="283"/>
      <c r="Q4" s="282"/>
      <c r="R4" s="282"/>
      <c r="S4" s="282"/>
      <c r="T4" s="282"/>
      <c r="U4" s="282"/>
      <c r="V4" s="283"/>
      <c r="W4" s="282"/>
      <c r="X4" s="282"/>
      <c r="Y4" s="282"/>
      <c r="Z4" s="282"/>
      <c r="AA4" s="282"/>
      <c r="AB4" s="283"/>
      <c r="AC4" s="284"/>
      <c r="AD4" s="284"/>
      <c r="AG4" s="65"/>
      <c r="AH4" s="65"/>
      <c r="AI4" s="65"/>
      <c r="AJ4" s="65"/>
      <c r="AK4" s="274"/>
    </row>
    <row r="5" spans="1:40" s="131" customFormat="1" ht="13.5" thickBot="1" x14ac:dyDescent="0.25">
      <c r="A5" s="145"/>
      <c r="B5" s="145">
        <v>2</v>
      </c>
      <c r="C5" s="145">
        <v>3</v>
      </c>
      <c r="D5" s="145">
        <v>4</v>
      </c>
      <c r="E5" s="145">
        <v>5</v>
      </c>
      <c r="F5" s="145"/>
      <c r="G5" s="145">
        <v>6</v>
      </c>
      <c r="H5" s="145">
        <v>7</v>
      </c>
      <c r="I5" s="145">
        <v>8</v>
      </c>
      <c r="J5" s="145">
        <v>9</v>
      </c>
      <c r="K5" s="145">
        <v>10</v>
      </c>
      <c r="L5" s="145">
        <v>11</v>
      </c>
      <c r="M5" s="269">
        <v>12</v>
      </c>
      <c r="N5" s="269">
        <v>13</v>
      </c>
      <c r="O5" s="269">
        <v>14</v>
      </c>
      <c r="P5" s="269">
        <v>15</v>
      </c>
      <c r="Q5" s="269">
        <v>16</v>
      </c>
      <c r="R5" s="269">
        <v>17</v>
      </c>
      <c r="S5" s="269">
        <v>18</v>
      </c>
      <c r="T5" s="269">
        <v>19</v>
      </c>
      <c r="U5" s="269">
        <v>20</v>
      </c>
      <c r="V5" s="269">
        <v>21</v>
      </c>
      <c r="W5" s="269">
        <v>22</v>
      </c>
      <c r="X5" s="269">
        <v>23</v>
      </c>
      <c r="Y5" s="269">
        <v>24</v>
      </c>
      <c r="Z5" s="269">
        <v>25</v>
      </c>
      <c r="AA5" s="269">
        <v>26</v>
      </c>
      <c r="AB5" s="269">
        <v>27</v>
      </c>
      <c r="AC5" s="269">
        <v>28</v>
      </c>
      <c r="AD5" s="269">
        <v>29</v>
      </c>
      <c r="AE5" s="269">
        <v>36</v>
      </c>
      <c r="AF5" s="104"/>
      <c r="AG5" s="269">
        <v>38</v>
      </c>
      <c r="AH5" s="269">
        <v>39</v>
      </c>
      <c r="AI5" s="269">
        <v>40</v>
      </c>
      <c r="AJ5" s="269">
        <v>41</v>
      </c>
      <c r="AK5" s="171"/>
      <c r="AL5" s="269">
        <v>42</v>
      </c>
      <c r="AM5" s="166">
        <v>47</v>
      </c>
      <c r="AN5" s="145">
        <v>48</v>
      </c>
    </row>
    <row r="6" spans="1:40" ht="15.75" customHeight="1" thickBot="1" x14ac:dyDescent="0.25">
      <c r="A6" s="77"/>
      <c r="B6" s="78"/>
      <c r="C6" s="78"/>
      <c r="D6" s="78"/>
      <c r="E6" s="78"/>
      <c r="F6" s="78"/>
      <c r="G6" s="351" t="s">
        <v>1</v>
      </c>
      <c r="H6" s="352"/>
      <c r="I6" s="352"/>
      <c r="J6" s="352"/>
      <c r="K6" s="352"/>
      <c r="L6" s="353"/>
      <c r="M6" s="355" t="s">
        <v>420</v>
      </c>
      <c r="N6" s="356"/>
      <c r="O6" s="356"/>
      <c r="P6" s="356"/>
      <c r="Q6" s="356"/>
      <c r="R6" s="357"/>
      <c r="S6" s="358" t="s">
        <v>421</v>
      </c>
      <c r="T6" s="359"/>
      <c r="U6" s="359"/>
      <c r="V6" s="359"/>
      <c r="W6" s="359"/>
      <c r="X6" s="360"/>
      <c r="Y6" s="361" t="s">
        <v>422</v>
      </c>
      <c r="Z6" s="356"/>
      <c r="AA6" s="356"/>
      <c r="AB6" s="356"/>
      <c r="AC6" s="356"/>
      <c r="AD6" s="362"/>
    </row>
    <row r="7" spans="1:40" s="66" customFormat="1" ht="57" x14ac:dyDescent="0.25">
      <c r="A7" s="79" t="s">
        <v>0</v>
      </c>
      <c r="B7" s="79" t="s">
        <v>87</v>
      </c>
      <c r="C7" s="79" t="s">
        <v>113</v>
      </c>
      <c r="D7" s="79" t="s">
        <v>59</v>
      </c>
      <c r="E7" s="79" t="s">
        <v>114</v>
      </c>
      <c r="F7" s="159" t="s">
        <v>248</v>
      </c>
      <c r="G7" s="112" t="s">
        <v>4</v>
      </c>
      <c r="H7" s="106" t="s">
        <v>5</v>
      </c>
      <c r="I7" s="106" t="s">
        <v>33</v>
      </c>
      <c r="J7" s="63" t="s">
        <v>162</v>
      </c>
      <c r="K7" s="63" t="s">
        <v>164</v>
      </c>
      <c r="L7" s="63" t="s">
        <v>259</v>
      </c>
      <c r="M7" s="64" t="s">
        <v>8</v>
      </c>
      <c r="N7" s="64" t="s">
        <v>9</v>
      </c>
      <c r="O7" s="64" t="s">
        <v>176</v>
      </c>
      <c r="P7" s="64" t="s">
        <v>19</v>
      </c>
      <c r="Q7" s="64" t="s">
        <v>10</v>
      </c>
      <c r="R7" s="87" t="s">
        <v>23</v>
      </c>
      <c r="S7" s="63" t="s">
        <v>11</v>
      </c>
      <c r="T7" s="63" t="s">
        <v>13</v>
      </c>
      <c r="U7" s="63" t="s">
        <v>116</v>
      </c>
      <c r="V7" s="63" t="s">
        <v>20</v>
      </c>
      <c r="W7" s="63" t="s">
        <v>14</v>
      </c>
      <c r="X7" s="89" t="s">
        <v>22</v>
      </c>
      <c r="Y7" s="64" t="s">
        <v>15</v>
      </c>
      <c r="Z7" s="64" t="s">
        <v>12</v>
      </c>
      <c r="AA7" s="64" t="s">
        <v>117</v>
      </c>
      <c r="AB7" s="64" t="s">
        <v>21</v>
      </c>
      <c r="AC7" s="64" t="s">
        <v>16</v>
      </c>
      <c r="AD7" s="101" t="s">
        <v>24</v>
      </c>
      <c r="AE7" s="287" t="s">
        <v>2</v>
      </c>
      <c r="AF7" s="288" t="s">
        <v>165</v>
      </c>
      <c r="AG7" s="289" t="s">
        <v>166</v>
      </c>
      <c r="AH7" s="289" t="s">
        <v>167</v>
      </c>
      <c r="AI7" s="290" t="s">
        <v>86</v>
      </c>
      <c r="AJ7" s="291" t="s">
        <v>17</v>
      </c>
      <c r="AK7" s="292" t="s">
        <v>296</v>
      </c>
      <c r="AL7" s="293" t="s">
        <v>177</v>
      </c>
      <c r="AM7" s="167"/>
    </row>
    <row r="8" spans="1:40" s="65" customFormat="1" ht="38.25" x14ac:dyDescent="0.25">
      <c r="A8" s="51">
        <v>1</v>
      </c>
      <c r="B8" s="51">
        <v>1</v>
      </c>
      <c r="C8" s="107"/>
      <c r="D8" s="51" t="s">
        <v>180</v>
      </c>
      <c r="E8" s="51"/>
      <c r="F8" s="51" t="str">
        <f>VLOOKUP(Таблица3[[#This Row],[№ п/п]],'Спецификация 25'!$1:$1048576,2,0)</f>
        <v>Папаверина гидрохлорид 2 % 2 мл №10</v>
      </c>
      <c r="G8" s="51" t="str">
        <f>VLOOKUP(Таблица3[[#This Row],[№ п/п]],'Спецификация 25'!$1:$1048576,3,0)</f>
        <v>Папаверин</v>
      </c>
      <c r="H8" s="51" t="str">
        <f>VLOOKUP(Таблица3[[#This Row],[№ п/п]],'Спецификация 25'!$1:$1048576,7,0)</f>
        <v>Раствор для инъекций</v>
      </c>
      <c r="I8" s="51" t="str" cm="1">
        <f t="array" ref="I8">IFERROR(INDEX('Спецификация 25'!$G$2:$G$113,MATCH(Таблица3[[#This Row],[№ п/п]]&amp;Таблица3[[#Headers],[Дозировка]],'Спецификация 25'!$A$2:$A$113&amp;'Спецификация 25'!$F$2:$F$113,0)),"нет")</f>
        <v>20 мг/мл</v>
      </c>
      <c r="J8" s="51" t="str" cm="1">
        <f t="array" ref="J8">IFERROR(INDEX('Спецификация 25'!$G$2:$G$113,MATCH(Таблица3[[#This Row],[№ п/п]]&amp;Таблица3[[#Headers],[Первичная упаковка]],'Спецификация 25'!$A$2:$A$113&amp;'Спецификация 25'!$F$2:$F$113,0)),"нет")</f>
        <v>Ампула</v>
      </c>
      <c r="K8" s="51" t="str" cm="1">
        <f t="array" ref="K8">IFERROR(INDEX('Спецификация 25'!$G$2:$G$113,MATCH(Таблица3[[#This Row],[№ п/п]]&amp;Таблица3[[#Headers],[Описание упаковки]],'Спецификация 25'!$A$2:$A$113&amp;'Спецификация 25'!$F$2:$F$113,0)),"")</f>
        <v>10 амп. по 2 мл</v>
      </c>
      <c r="L8" s="51" t="str">
        <f>VLOOKUP(Таблица3[[#This Row],[№ п/п]],'Спецификация 25'!$1:$1048576,8,0)</f>
        <v>мл</v>
      </c>
      <c r="M8" s="67">
        <v>147</v>
      </c>
      <c r="N8" s="68">
        <v>0.1</v>
      </c>
      <c r="O8" s="69">
        <f>Таблица3[[#This Row],[1 Цена за уп с НДС]]-Таблица3[[#This Row],[1 Цена за уп с НДС]]*(1-1/(1+N8))</f>
        <v>133.63636363636363</v>
      </c>
      <c r="P8" s="70" t="str">
        <f>LEFT(Таблица3[[#This Row],[Описание упаковки]],2)</f>
        <v>10</v>
      </c>
      <c r="Q8"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2</v>
      </c>
      <c r="R8" s="71">
        <f>ROUNDDOWN(Таблица3[[#This Row],[1 Цена за уп без НДС]]/Таблица3[[#This Row],[1 Кол-во шт в уп]]/Таблица3[[#This Row],[1 Объем катриджа]],2)</f>
        <v>6.68</v>
      </c>
      <c r="S8" s="90">
        <v>148</v>
      </c>
      <c r="T8" s="91">
        <v>0.1</v>
      </c>
      <c r="U8" s="92">
        <f>Таблица3[[#This Row],[2 Цена за уп с НДС]]-(Таблица3[[#This Row],[2 Цена за уп с НДС]]*(1-1/(1+T8)))</f>
        <v>134.54545454545453</v>
      </c>
      <c r="V8" s="93" t="str">
        <f>Таблица3[[#This Row],[1 Кол-во шт в уп]]</f>
        <v>10</v>
      </c>
      <c r="W8" s="93" t="str">
        <f>Таблица3[[#This Row],[1 Объем катриджа]]</f>
        <v>2</v>
      </c>
      <c r="X8" s="94">
        <f>ROUNDDOWN(Таблица3[[#This Row],[2 Цена за уп без НДС и Оптовой над.]]/Таблица3[[#This Row],[2 Кол-во шт в уп]]/Таблица3[[#This Row],[2 Объем катриджа]],2)</f>
        <v>6.72</v>
      </c>
      <c r="Y8" s="67">
        <v>148.44</v>
      </c>
      <c r="Z8" s="68">
        <v>0.1</v>
      </c>
      <c r="AA8" s="69">
        <f>Таблица3[[#This Row],[3 Цена за уп с НДС]]-(Таблица3[[#This Row],[3 Цена за уп с НДС]]*(1-1/(1+Z8)))</f>
        <v>134.94545454545454</v>
      </c>
      <c r="AB8" s="70" t="str">
        <f>Таблица3[[#This Row],[1 Кол-во шт в уп]]</f>
        <v>10</v>
      </c>
      <c r="AC8" s="70" t="str">
        <f>Таблица3[[#This Row],[1 Объем катриджа]]</f>
        <v>2</v>
      </c>
      <c r="AD8" s="102">
        <f>ROUNDDOWN(Таблица3[[#This Row],[3 Цена за уп без НДС и Оптовой над.]]/Таблица3[[#This Row],[3 Кол-во шт в уп]]/Таблица3[[#This Row],[3 Объем катриджа]],2)</f>
        <v>6.74</v>
      </c>
      <c r="AE8" s="100">
        <f>ROUND(MIN(Таблица3[[#This Row],[1 Цена за единицу без НДС]],Таблица3[[#This Row],[2 Цена за единицу без НДС]],Таблица3[[#This Row],[3 Цена за единицу без НДС]]),2)</f>
        <v>6.68</v>
      </c>
      <c r="AF8" s="143">
        <f>VLOOKUP(Таблица3[[#This Row],[№ п/п]],'Спецификация 25'!$1:$1048576,10,0)</f>
        <v>10</v>
      </c>
      <c r="AG8" s="109" t="str">
        <f>Таблица3[[#This Row],[1 Кол-во шт в уп]]</f>
        <v>10</v>
      </c>
      <c r="AH8" s="109" t="str">
        <f>Таблица3[[#This Row],[1 Объем катриджа]]</f>
        <v>2</v>
      </c>
      <c r="AI8" s="110">
        <f>Таблица3[[#This Row],[Кол-во Упак]]*Таблица3[[#This Row],[Объем]]*Таблица3[[#This Row],[Кол-во шт в уп]]</f>
        <v>200</v>
      </c>
      <c r="AJ8" s="169">
        <f>STDEV(Таблица3[[#This Row],[1 Цена за единицу без НДС]],Таблица3[[#This Row],[2 Цена за единицу без НДС]],Таблица3[[#This Row],[3 Цена за единицу без НДС]])/Таблица3[[#This Row],[Цена за единицу, руб. ]]</f>
        <v>4.5734288372813112E-3</v>
      </c>
      <c r="AK8" s="163">
        <f>Таблица3[[#This Row],[Цена за единицу, руб. ]]*Таблица3[[#This Row],[Кол-во ЛП (мл/шт)]]</f>
        <v>1336</v>
      </c>
      <c r="AL8" s="144">
        <f>ROUND((Таблица3[[#This Row],[Цена за единицу, руб. ]]+Таблица3[[#This Row],[Цена за единицу, руб. ]]*10%),2)*Таблица3[[#This Row],[Кол-во ЛП (мл/шт)]]</f>
        <v>1470</v>
      </c>
      <c r="AM8" s="168"/>
    </row>
    <row r="9" spans="1:40" s="65" customFormat="1" ht="25.5" x14ac:dyDescent="0.25">
      <c r="A9" s="51">
        <v>2</v>
      </c>
      <c r="B9" s="51">
        <v>2</v>
      </c>
      <c r="C9" s="51"/>
      <c r="D9" s="51" t="s">
        <v>180</v>
      </c>
      <c r="E9" s="51"/>
      <c r="F9" s="51" t="str">
        <f>VLOOKUP(Таблица3[[#This Row],[№ п/п]],'Спецификация 25'!$1:$1048576,2,0)</f>
        <v>Анальгин 50 % 2 мл №10</v>
      </c>
      <c r="G9" s="51" t="str">
        <f>VLOOKUP(Таблица3[[#This Row],[№ п/п]],'Спецификация 25'!$1:$1048576,3,0)</f>
        <v>Метамизол натрия</v>
      </c>
      <c r="H9" s="51" t="str">
        <f>VLOOKUP(Таблица3[[#This Row],[№ п/п]],'Спецификация 25'!$1:$1048576,7,0)</f>
        <v>Раствор для внутривенного и внутримышечного введения</v>
      </c>
      <c r="I9" s="51" t="str" cm="1">
        <f t="array" ref="I9">IFERROR(INDEX('Спецификация 25'!$G$2:$G$113,MATCH(Таблица3[[#This Row],[№ п/п]]&amp;Таблица3[[#Headers],[Дозировка]],'Спецификация 25'!$A$2:$A$113&amp;'Спецификация 25'!$F$2:$F$113,0)),"нет")</f>
        <v>500 мг/мл</v>
      </c>
      <c r="J9" s="51" t="str" cm="1">
        <f t="array" ref="J9">IFERROR(INDEX('Спецификация 25'!$G$2:$G$113,MATCH(Таблица3[[#This Row],[№ п/п]]&amp;Таблица3[[#Headers],[Первичная упаковка]],'Спецификация 25'!$A$2:$A$113&amp;'Спецификация 25'!$F$2:$F$113,0)),"нет")</f>
        <v>Ампула</v>
      </c>
      <c r="K9" s="51" t="str" cm="1">
        <f t="array" ref="K9">IFERROR(INDEX('Спецификация 25'!$G$2:$G$113,MATCH(Таблица3[[#This Row],[№ п/п]]&amp;Таблица3[[#Headers],[Описание упаковки]],'Спецификация 25'!$A$2:$A$113&amp;'Спецификация 25'!$F$2:$F$113,0)),"")</f>
        <v>10 амп. по 2 мл</v>
      </c>
      <c r="L9" s="51" t="str">
        <f>VLOOKUP(Таблица3[[#This Row],[№ п/п]],'Спецификация 25'!$1:$1048576,8,0)</f>
        <v>мл</v>
      </c>
      <c r="M9" s="72">
        <v>113.25</v>
      </c>
      <c r="N9" s="68">
        <v>0.1</v>
      </c>
      <c r="O9" s="69">
        <f>Таблица3[[#This Row],[1 Цена за уп с НДС]]-Таблица3[[#This Row],[1 Цена за уп с НДС]]*(1-1/(1+N9))</f>
        <v>102.95454545454545</v>
      </c>
      <c r="P9" s="70" t="str">
        <f>LEFT(Таблица3[[#This Row],[Описание упаковки]],2)</f>
        <v>10</v>
      </c>
      <c r="Q9"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2</v>
      </c>
      <c r="R9" s="71">
        <f>ROUNDDOWN(Таблица3[[#This Row],[1 Цена за уп без НДС]]/Таблица3[[#This Row],[1 Кол-во шт в уп]]/Таблица3[[#This Row],[1 Объем катриджа]],2)</f>
        <v>5.14</v>
      </c>
      <c r="S9" s="95">
        <v>114.25</v>
      </c>
      <c r="T9" s="91">
        <v>0.1</v>
      </c>
      <c r="U9" s="92">
        <f>Таблица3[[#This Row],[2 Цена за уп с НДС]]-(Таблица3[[#This Row],[2 Цена за уп с НДС]]*(1-1/(1+T9)))</f>
        <v>103.86363636363636</v>
      </c>
      <c r="V9" s="93" t="str">
        <f>Таблица3[[#This Row],[1 Кол-во шт в уп]]</f>
        <v>10</v>
      </c>
      <c r="W9" s="93" t="str">
        <f>Таблица3[[#This Row],[1 Объем катриджа]]</f>
        <v>2</v>
      </c>
      <c r="X9" s="94">
        <f>ROUNDDOWN(Таблица3[[#This Row],[2 Цена за уп без НДС и Оптовой над.]]/Таблица3[[#This Row],[2 Кол-во шт в уп]]/Таблица3[[#This Row],[2 Объем катриджа]],2)</f>
        <v>5.19</v>
      </c>
      <c r="Y9" s="72">
        <v>114.59</v>
      </c>
      <c r="Z9" s="68">
        <v>0.1</v>
      </c>
      <c r="AA9" s="69">
        <f>Таблица3[[#This Row],[3 Цена за уп с НДС]]-(Таблица3[[#This Row],[3 Цена за уп с НДС]]*(1-1/(1+Z9)))</f>
        <v>104.17272727272727</v>
      </c>
      <c r="AB9" s="70" t="str">
        <f>Таблица3[[#This Row],[1 Кол-во шт в уп]]</f>
        <v>10</v>
      </c>
      <c r="AC9" s="70" t="str">
        <f>Таблица3[[#This Row],[1 Объем катриджа]]</f>
        <v>2</v>
      </c>
      <c r="AD9" s="102">
        <f>ROUNDDOWN(Таблица3[[#This Row],[3 Цена за уп без НДС и Оптовой над.]]/Таблица3[[#This Row],[3 Кол-во шт в уп]]/Таблица3[[#This Row],[3 Объем катриджа]],2)</f>
        <v>5.2</v>
      </c>
      <c r="AE9" s="100">
        <f>ROUND(MIN(Таблица3[[#This Row],[1 Цена за единицу без НДС]],Таблица3[[#This Row],[2 Цена за единицу без НДС]],Таблица3[[#This Row],[3 Цена за единицу без НДС]]),2)</f>
        <v>5.14</v>
      </c>
      <c r="AF9" s="143">
        <f>VLOOKUP(Таблица3[[#This Row],[№ п/п]],'Спецификация 25'!$1:$1048576,10,0)</f>
        <v>5</v>
      </c>
      <c r="AG9" s="109" t="str">
        <f>Таблица3[[#This Row],[1 Кол-во шт в уп]]</f>
        <v>10</v>
      </c>
      <c r="AH9" s="109" t="str">
        <f>Таблица3[[#This Row],[1 Объем катриджа]]</f>
        <v>2</v>
      </c>
      <c r="AI9" s="110">
        <f>Таблица3[[#This Row],[Кол-во Упак]]*Таблица3[[#This Row],[Объем]]*Таблица3[[#This Row],[Кол-во шт в уп]]</f>
        <v>100</v>
      </c>
      <c r="AJ9" s="169">
        <f>STDEV(Таблица3[[#This Row],[1 Цена за единицу без НДС]],Таблица3[[#This Row],[2 Цена за единицу без НДС]],Таблица3[[#This Row],[3 Цена за единицу без НДС]])/Таблица3[[#This Row],[Цена за единицу, руб. ]]</f>
        <v>6.2539888203586606E-3</v>
      </c>
      <c r="AK9" s="163">
        <f>Таблица3[[#This Row],[Цена за единицу, руб. ]]*Таблица3[[#This Row],[Кол-во ЛП (мл/шт)]]</f>
        <v>514</v>
      </c>
      <c r="AL9" s="144">
        <f>ROUND((Таблица3[[#This Row],[Цена за единицу, руб. ]]+Таблица3[[#This Row],[Цена за единицу, руб. ]]*10%),2)*Таблица3[[#This Row],[Кол-во ЛП (мл/шт)]]</f>
        <v>565</v>
      </c>
      <c r="AM9" s="168"/>
    </row>
    <row r="10" spans="1:40" s="65" customFormat="1" ht="25.5" x14ac:dyDescent="0.25">
      <c r="A10" s="51">
        <v>3</v>
      </c>
      <c r="B10" s="51">
        <v>3</v>
      </c>
      <c r="C10" s="107"/>
      <c r="D10" s="51" t="s">
        <v>180</v>
      </c>
      <c r="E10" s="51"/>
      <c r="F10" s="51" t="str">
        <f>VLOOKUP(Таблица3[[#This Row],[№ п/п]],'Спецификация 25'!$1:$1048576,2,0)</f>
        <v>Дибазол 1% 1 мл №10</v>
      </c>
      <c r="G10" s="51" t="str">
        <f>VLOOKUP(Таблица3[[#This Row],[№ п/п]],'Спецификация 25'!$1:$1048576,3,0)</f>
        <v>Бендазол</v>
      </c>
      <c r="H10" s="51" t="str">
        <f>VLOOKUP(Таблица3[[#This Row],[№ п/п]],'Спецификация 25'!$1:$1048576,7,0)</f>
        <v>Раствор для внутривенного и внутримышечного введения</v>
      </c>
      <c r="I10" s="51" t="str" cm="1">
        <f t="array" ref="I10">IFERROR(INDEX('Спецификация 25'!$G$2:$G$113,MATCH(Таблица3[[#This Row],[№ п/п]]&amp;Таблица3[[#Headers],[Дозировка]],'Спецификация 25'!$A$2:$A$113&amp;'Спецификация 25'!$F$2:$F$113,0)),"нет")</f>
        <v>10 мг/мл</v>
      </c>
      <c r="J10" s="51" t="str" cm="1">
        <f t="array" ref="J10">IFERROR(INDEX('Спецификация 25'!$G$2:$G$113,MATCH(Таблица3[[#This Row],[№ п/п]]&amp;Таблица3[[#Headers],[Первичная упаковка]],'Спецификация 25'!$A$2:$A$113&amp;'Спецификация 25'!$F$2:$F$113,0)),"нет")</f>
        <v>Ампула</v>
      </c>
      <c r="K10" s="51" t="str" cm="1">
        <f t="array" ref="K10">IFERROR(INDEX('Спецификация 25'!$G$2:$G$113,MATCH(Таблица3[[#This Row],[№ п/п]]&amp;Таблица3[[#Headers],[Описание упаковки]],'Спецификация 25'!$A$2:$A$113&amp;'Спецификация 25'!$F$2:$F$113,0)),"")</f>
        <v>10 амп. по 1 мл</v>
      </c>
      <c r="L10" s="51" t="str">
        <f>VLOOKUP(Таблица3[[#This Row],[№ п/п]],'Спецификация 25'!$1:$1048576,8,0)</f>
        <v>мл</v>
      </c>
      <c r="M10" s="67">
        <v>84</v>
      </c>
      <c r="N10" s="68">
        <v>0.1</v>
      </c>
      <c r="O10" s="69">
        <f>Таблица3[[#This Row],[1 Цена за уп с НДС]]-Таблица3[[#This Row],[1 Цена за уп с НДС]]*(1-1/(1+N10))</f>
        <v>76.36363636363636</v>
      </c>
      <c r="P10" s="70" t="str">
        <f>LEFT(Таблица3[[#This Row],[Описание упаковки]],2)</f>
        <v>10</v>
      </c>
      <c r="Q10"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0" s="71">
        <f>ROUNDDOWN(Таблица3[[#This Row],[1 Цена за уп без НДС]]/Таблица3[[#This Row],[1 Кол-во шт в уп]]/Таблица3[[#This Row],[1 Объем катриджа]],2)</f>
        <v>7.63</v>
      </c>
      <c r="S10" s="95">
        <v>85</v>
      </c>
      <c r="T10" s="91">
        <v>0.1</v>
      </c>
      <c r="U10" s="92">
        <f>Таблица3[[#This Row],[2 Цена за уп с НДС]]-(Таблица3[[#This Row],[2 Цена за уп с НДС]]*(1-1/(1+T10)))</f>
        <v>77.272727272727266</v>
      </c>
      <c r="V10" s="93" t="str">
        <f>Таблица3[[#This Row],[1 Кол-во шт в уп]]</f>
        <v>10</v>
      </c>
      <c r="W10" s="93" t="str">
        <f>Таблица3[[#This Row],[1 Объем катриджа]]</f>
        <v>1</v>
      </c>
      <c r="X10" s="94">
        <f>ROUNDDOWN(Таблица3[[#This Row],[2 Цена за уп без НДС и Оптовой над.]]/Таблица3[[#This Row],[2 Кол-во шт в уп]]/Таблица3[[#This Row],[2 Объем катриджа]],2)</f>
        <v>7.72</v>
      </c>
      <c r="Y10" s="72">
        <v>85.26</v>
      </c>
      <c r="Z10" s="68">
        <v>0.1</v>
      </c>
      <c r="AA10" s="69">
        <f>Таблица3[[#This Row],[3 Цена за уп с НДС]]-(Таблица3[[#This Row],[3 Цена за уп с НДС]]*(1-1/(1+Z10)))</f>
        <v>77.509090909090915</v>
      </c>
      <c r="AB10" s="70" t="str">
        <f>Таблица3[[#This Row],[1 Кол-во шт в уп]]</f>
        <v>10</v>
      </c>
      <c r="AC10" s="70" t="str">
        <f>Таблица3[[#This Row],[1 Объем катриджа]]</f>
        <v>1</v>
      </c>
      <c r="AD10" s="102">
        <f>ROUNDDOWN(Таблица3[[#This Row],[3 Цена за уп без НДС и Оптовой над.]]/Таблица3[[#This Row],[3 Кол-во шт в уп]]/Таблица3[[#This Row],[3 Объем катриджа]],2)</f>
        <v>7.75</v>
      </c>
      <c r="AE10" s="100">
        <f>ROUND(MIN(Таблица3[[#This Row],[1 Цена за единицу без НДС]],Таблица3[[#This Row],[2 Цена за единицу без НДС]],Таблица3[[#This Row],[3 Цена за единицу без НДС]]),2)</f>
        <v>7.63</v>
      </c>
      <c r="AF10" s="143">
        <f>VLOOKUP(Таблица3[[#This Row],[№ п/п]],'Спецификация 25'!$1:$1048576,10,0)</f>
        <v>7</v>
      </c>
      <c r="AG10" s="109" t="str">
        <f>Таблица3[[#This Row],[1 Кол-во шт в уп]]</f>
        <v>10</v>
      </c>
      <c r="AH10" s="109" t="str">
        <f>Таблица3[[#This Row],[1 Объем катриджа]]</f>
        <v>1</v>
      </c>
      <c r="AI10" s="110">
        <f>Таблица3[[#This Row],[Кол-во Упак]]*Таблица3[[#This Row],[Объем]]*Таблица3[[#This Row],[Кол-во шт в уп]]</f>
        <v>70</v>
      </c>
      <c r="AJ10" s="169">
        <f>STDEV(Таблица3[[#This Row],[1 Цена за единицу без НДС]],Таблица3[[#This Row],[2 Цена за единицу без НДС]],Таблица3[[#This Row],[3 Цена за единицу без НДС]])/Таблица3[[#This Row],[Цена за единицу, руб. ]]</f>
        <v>8.1847942311905637E-3</v>
      </c>
      <c r="AK10" s="163">
        <f>Таблица3[[#This Row],[Цена за единицу, руб. ]]*Таблица3[[#This Row],[Кол-во ЛП (мл/шт)]]</f>
        <v>534.1</v>
      </c>
      <c r="AL10" s="144">
        <f>ROUND((Таблица3[[#This Row],[Цена за единицу, руб. ]]+Таблица3[[#This Row],[Цена за единицу, руб. ]]*10%),2)*Таблица3[[#This Row],[Кол-во ЛП (мл/шт)]]</f>
        <v>587.30000000000007</v>
      </c>
      <c r="AM10" s="168"/>
    </row>
    <row r="11" spans="1:40" s="65" customFormat="1" ht="25.5" x14ac:dyDescent="0.25">
      <c r="A11" s="51">
        <v>4</v>
      </c>
      <c r="B11" s="51">
        <v>4</v>
      </c>
      <c r="C11" s="107"/>
      <c r="D11" s="51" t="s">
        <v>180</v>
      </c>
      <c r="E11" s="51"/>
      <c r="F11" s="51" t="str">
        <f>VLOOKUP(Таблица3[[#This Row],[№ п/п]],'Спецификация 25'!$1:$1048576,2,0)</f>
        <v>Димедрол 1% 1 мл №10</v>
      </c>
      <c r="G11" s="51" t="str">
        <f>VLOOKUP(Таблица3[[#This Row],[№ п/п]],'Спецификация 25'!$1:$1048576,3,0)</f>
        <v>Дифенгидрамин</v>
      </c>
      <c r="H11" s="51" t="str">
        <f>VLOOKUP(Таблица3[[#This Row],[№ п/п]],'Спецификация 25'!$1:$1048576,7,0)</f>
        <v>Раствор для внутривенного и внутримышечного введения</v>
      </c>
      <c r="I11" s="51" t="str" cm="1">
        <f t="array" ref="I11">IFERROR(INDEX('Спецификация 25'!$G$2:$G$113,MATCH(Таблица3[[#This Row],[№ п/п]]&amp;Таблица3[[#Headers],[Дозировка]],'Спецификация 25'!$A$2:$A$113&amp;'Спецификация 25'!$F$2:$F$113,0)),"нет")</f>
        <v>10 мг/мл</v>
      </c>
      <c r="J11" s="51" t="str" cm="1">
        <f t="array" ref="J11">IFERROR(INDEX('Спецификация 25'!$G$2:$G$113,MATCH(Таблица3[[#This Row],[№ п/п]]&amp;Таблица3[[#Headers],[Первичная упаковка]],'Спецификация 25'!$A$2:$A$113&amp;'Спецификация 25'!$F$2:$F$113,0)),"нет")</f>
        <v>Ампула</v>
      </c>
      <c r="K11" s="51" t="str" cm="1">
        <f t="array" ref="K11">IFERROR(INDEX('Спецификация 25'!$G$2:$G$113,MATCH(Таблица3[[#This Row],[№ п/п]]&amp;Таблица3[[#Headers],[Описание упаковки]],'Спецификация 25'!$A$2:$A$113&amp;'Спецификация 25'!$F$2:$F$113,0)),"")</f>
        <v>10 амп. по 1 мл</v>
      </c>
      <c r="L11" s="51" t="str">
        <f>VLOOKUP(Таблица3[[#This Row],[№ п/п]],'Спецификация 25'!$1:$1048576,8,0)</f>
        <v>мл</v>
      </c>
      <c r="M11" s="67">
        <v>70</v>
      </c>
      <c r="N11" s="68">
        <v>0.1</v>
      </c>
      <c r="O11" s="69">
        <f>Таблица3[[#This Row],[1 Цена за уп с НДС]]-Таблица3[[#This Row],[1 Цена за уп с НДС]]*(1-1/(1+N11))</f>
        <v>63.636363636363633</v>
      </c>
      <c r="P11" s="70" t="str">
        <f>LEFT(Таблица3[[#This Row],[Описание упаковки]],2)</f>
        <v>10</v>
      </c>
      <c r="Q11"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1" s="71">
        <f>ROUNDDOWN(Таблица3[[#This Row],[1 Цена за уп без НДС]]/Таблица3[[#This Row],[1 Кол-во шт в уп]]/Таблица3[[#This Row],[1 Объем катриджа]],2)</f>
        <v>6.36</v>
      </c>
      <c r="S11" s="95">
        <v>71</v>
      </c>
      <c r="T11" s="91">
        <v>0.1</v>
      </c>
      <c r="U11" s="92">
        <f>Таблица3[[#This Row],[2 Цена за уп с НДС]]-(Таблица3[[#This Row],[2 Цена за уп с НДС]]*(1-1/(1+T11)))</f>
        <v>64.545454545454547</v>
      </c>
      <c r="V11" s="93" t="str">
        <f>Таблица3[[#This Row],[1 Кол-во шт в уп]]</f>
        <v>10</v>
      </c>
      <c r="W11" s="93" t="str">
        <f>Таблица3[[#This Row],[1 Объем катриджа]]</f>
        <v>1</v>
      </c>
      <c r="X11" s="94">
        <f>ROUNDDOWN(Таблица3[[#This Row],[2 Цена за уп без НДС и Оптовой над.]]/Таблица3[[#This Row],[2 Кол-во шт в уп]]/Таблица3[[#This Row],[2 Объем катриджа]],2)</f>
        <v>6.45</v>
      </c>
      <c r="Y11" s="72">
        <v>71.209999999999994</v>
      </c>
      <c r="Z11" s="68">
        <v>0.1</v>
      </c>
      <c r="AA11" s="69">
        <f>Таблица3[[#This Row],[3 Цена за уп с НДС]]-(Таблица3[[#This Row],[3 Цена за уп с НДС]]*(1-1/(1+Z11)))</f>
        <v>64.736363636363635</v>
      </c>
      <c r="AB11" s="70" t="str">
        <f>Таблица3[[#This Row],[1 Кол-во шт в уп]]</f>
        <v>10</v>
      </c>
      <c r="AC11" s="70" t="str">
        <f>Таблица3[[#This Row],[1 Объем катриджа]]</f>
        <v>1</v>
      </c>
      <c r="AD11" s="102">
        <f>ROUNDDOWN(Таблица3[[#This Row],[3 Цена за уп без НДС и Оптовой над.]]/Таблица3[[#This Row],[3 Кол-во шт в уп]]/Таблица3[[#This Row],[3 Объем катриджа]],2)</f>
        <v>6.47</v>
      </c>
      <c r="AE11" s="100">
        <f>ROUND(MIN(Таблица3[[#This Row],[1 Цена за единицу без НДС]],Таблица3[[#This Row],[2 Цена за единицу без НДС]],Таблица3[[#This Row],[3 Цена за единицу без НДС]]),2)</f>
        <v>6.36</v>
      </c>
      <c r="AF11" s="143">
        <f>VLOOKUP(Таблица3[[#This Row],[№ п/п]],'Спецификация 25'!$1:$1048576,10,0)</f>
        <v>5</v>
      </c>
      <c r="AG11" s="109" t="str">
        <f>Таблица3[[#This Row],[1 Кол-во шт в уп]]</f>
        <v>10</v>
      </c>
      <c r="AH11" s="109" t="str">
        <f>Таблица3[[#This Row],[1 Объем катриджа]]</f>
        <v>1</v>
      </c>
      <c r="AI11" s="110">
        <f>Таблица3[[#This Row],[Кол-во Упак]]*Таблица3[[#This Row],[Объем]]*Таблица3[[#This Row],[Кол-во шт в уп]]</f>
        <v>50</v>
      </c>
      <c r="AJ11" s="169">
        <f>STDEV(Таблица3[[#This Row],[1 Цена за единицу без НДС]],Таблица3[[#This Row],[2 Цена за единицу без НДС]],Таблица3[[#This Row],[3 Цена за единицу без НДС]])/Таблица3[[#This Row],[Цена за единицу, руб. ]]</f>
        <v>9.2129957186828475E-3</v>
      </c>
      <c r="AK11" s="163">
        <f>Таблица3[[#This Row],[Цена за единицу, руб. ]]*Таблица3[[#This Row],[Кол-во ЛП (мл/шт)]]</f>
        <v>318</v>
      </c>
      <c r="AL11" s="144">
        <f>ROUND((Таблица3[[#This Row],[Цена за единицу, руб. ]]+Таблица3[[#This Row],[Цена за единицу, руб. ]]*10%),2)*Таблица3[[#This Row],[Кол-во ЛП (мл/шт)]]</f>
        <v>350</v>
      </c>
      <c r="AM11" s="168"/>
    </row>
    <row r="12" spans="1:40" s="65" customFormat="1" ht="25.5" hidden="1" x14ac:dyDescent="0.25">
      <c r="A12" s="51">
        <v>5</v>
      </c>
      <c r="B12" s="51"/>
      <c r="C12" s="51"/>
      <c r="D12" s="51" t="s">
        <v>180</v>
      </c>
      <c r="E12" s="51"/>
      <c r="F12" s="51" t="str">
        <f>VLOOKUP(Таблица3[[#This Row],[№ п/п]],'Спецификация 25'!$1:$1048576,2,0)</f>
        <v>Линкомицин 30% 1,0 №10</v>
      </c>
      <c r="G12" s="51" t="str">
        <f>VLOOKUP(Таблица3[[#This Row],[№ п/п]],'Спецификация 25'!$1:$1048576,3,0)</f>
        <v>Линкомицин</v>
      </c>
      <c r="H12" s="51" t="str">
        <f>VLOOKUP(Таблица3[[#This Row],[№ п/п]],'Спецификация 25'!$1:$1048576,7,0)</f>
        <v>Раствор для внутривенного и внутримышечного введения</v>
      </c>
      <c r="I12" s="51" t="str" cm="1">
        <f t="array" ref="I12">IFERROR(INDEX('Спецификация 25'!$G$2:$G$113,MATCH(Таблица3[[#This Row],[№ п/п]]&amp;Таблица3[[#Headers],[Дозировка]],'Спецификация 25'!$A$2:$A$113&amp;'Спецификация 25'!$F$2:$F$113,0)),"нет")</f>
        <v>300 мг/мл</v>
      </c>
      <c r="J12" s="51" t="str" cm="1">
        <f t="array" ref="J12">IFERROR(INDEX('Спецификация 25'!$G$2:$G$113,MATCH(Таблица3[[#This Row],[№ п/п]]&amp;Таблица3[[#Headers],[Первичная упаковка]],'Спецификация 25'!$A$2:$A$113&amp;'Спецификация 25'!$F$2:$F$113,0)),"нет")</f>
        <v>Ампула</v>
      </c>
      <c r="K12" s="51" t="str" cm="1">
        <f t="array" ref="K12">IFERROR(INDEX('Спецификация 25'!$G$2:$G$113,MATCH(Таблица3[[#This Row],[№ п/п]]&amp;Таблица3[[#Headers],[Описание упаковки]],'Спецификация 25'!$A$2:$A$113&amp;'Спецификация 25'!$F$2:$F$113,0)),"")</f>
        <v>10 амп. по 1 мл</v>
      </c>
      <c r="L12" s="51" t="str">
        <f>VLOOKUP(Таблица3[[#This Row],[№ п/п]],'Спецификация 25'!$1:$1048576,8,0)</f>
        <v>мл</v>
      </c>
      <c r="M12" s="72"/>
      <c r="N12" s="68">
        <v>0.1</v>
      </c>
      <c r="O12" s="69">
        <f>Таблица3[[#This Row],[1 Цена за уп с НДС]]-Таблица3[[#This Row],[1 Цена за уп с НДС]]*(1-1/(1+N12))</f>
        <v>0</v>
      </c>
      <c r="P12" s="70" t="str">
        <f>LEFT(Таблица3[[#This Row],[Описание упаковки]],2)</f>
        <v>10</v>
      </c>
      <c r="Q12"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2" s="71">
        <f>ROUNDDOWN(Таблица3[[#This Row],[1 Цена за уп без НДС]]/Таблица3[[#This Row],[1 Кол-во шт в уп]]/Таблица3[[#This Row],[1 Объем катриджа]],2)</f>
        <v>0</v>
      </c>
      <c r="S12" s="95"/>
      <c r="T12" s="91">
        <v>0.1</v>
      </c>
      <c r="U12" s="92">
        <f>Таблица3[[#This Row],[2 Цена за уп с НДС]]-(Таблица3[[#This Row],[2 Цена за уп с НДС]]*(1-1/(1+T12)))</f>
        <v>0</v>
      </c>
      <c r="V12" s="93" t="str">
        <f>Таблица3[[#This Row],[1 Кол-во шт в уп]]</f>
        <v>10</v>
      </c>
      <c r="W12" s="93" t="str">
        <f>Таблица3[[#This Row],[1 Объем катриджа]]</f>
        <v>1</v>
      </c>
      <c r="X12" s="94">
        <f>ROUNDDOWN(Таблица3[[#This Row],[2 Цена за уп без НДС и Оптовой над.]]/Таблица3[[#This Row],[2 Кол-во шт в уп]]/Таблица3[[#This Row],[2 Объем катриджа]],2)</f>
        <v>0</v>
      </c>
      <c r="Y12" s="72"/>
      <c r="Z12" s="68">
        <v>0.1</v>
      </c>
      <c r="AA12" s="69">
        <f>Таблица3[[#This Row],[3 Цена за уп с НДС]]-(Таблица3[[#This Row],[3 Цена за уп с НДС]]*(1-1/(1+Z12)))</f>
        <v>0</v>
      </c>
      <c r="AB12" s="70" t="str">
        <f>Таблица3[[#This Row],[1 Кол-во шт в уп]]</f>
        <v>10</v>
      </c>
      <c r="AC12" s="70" t="str">
        <f>Таблица3[[#This Row],[1 Объем катриджа]]</f>
        <v>1</v>
      </c>
      <c r="AD12" s="102">
        <f>ROUNDDOWN(Таблица3[[#This Row],[3 Цена за уп без НДС и Оптовой над.]]/Таблица3[[#This Row],[3 Кол-во шт в уп]]/Таблица3[[#This Row],[3 Объем катриджа]],2)</f>
        <v>0</v>
      </c>
      <c r="AE12" s="100">
        <f>ROUND(MIN(Таблица3[[#This Row],[1 Цена за единицу без НДС]],Таблица3[[#This Row],[2 Цена за единицу без НДС]],Таблица3[[#This Row],[3 Цена за единицу без НДС]]),2)</f>
        <v>0</v>
      </c>
      <c r="AF12" s="143">
        <f>VLOOKUP(Таблица3[[#This Row],[№ п/п]],'Спецификация 25'!$1:$1048576,10,0)</f>
        <v>0</v>
      </c>
      <c r="AG12" s="109" t="str">
        <f>Таблица3[[#This Row],[1 Кол-во шт в уп]]</f>
        <v>10</v>
      </c>
      <c r="AH12" s="109" t="str">
        <f>Таблица3[[#This Row],[1 Объем катриджа]]</f>
        <v>1</v>
      </c>
      <c r="AI12" s="110">
        <f>Таблица3[[#This Row],[Кол-во Упак]]*Таблица3[[#This Row],[Объем]]*Таблица3[[#This Row],[Кол-во шт в уп]]</f>
        <v>0</v>
      </c>
      <c r="AJ12" s="169" t="e">
        <f>STDEV(Таблица3[[#This Row],[1 Цена за единицу без НДС]],Таблица3[[#This Row],[2 Цена за единицу без НДС]],Таблица3[[#This Row],[3 Цена за единицу без НДС]])/Таблица3[[#This Row],[Цена за единицу, руб. ]]</f>
        <v>#DIV/0!</v>
      </c>
      <c r="AK12" s="163">
        <f>Таблица3[[#This Row],[Цена за единицу, руб. ]]*Таблица3[[#This Row],[Кол-во ЛП (мл/шт)]]</f>
        <v>0</v>
      </c>
      <c r="AL12" s="144">
        <f>ROUND((Таблица3[[#This Row],[Цена за единицу, руб. ]]+Таблица3[[#This Row],[Цена за единицу, руб. ]]*10%),2)*Таблица3[[#This Row],[Кол-во ЛП (мл/шт)]]</f>
        <v>0</v>
      </c>
      <c r="AM12" s="168"/>
    </row>
    <row r="13" spans="1:40" s="65" customFormat="1" ht="38.25" x14ac:dyDescent="0.25">
      <c r="A13" s="51">
        <v>6</v>
      </c>
      <c r="B13" s="51">
        <v>5</v>
      </c>
      <c r="C13" s="107"/>
      <c r="D13" s="51" t="s">
        <v>297</v>
      </c>
      <c r="E13" s="51"/>
      <c r="F13" s="51" t="str">
        <f>VLOOKUP(Таблица3[[#This Row],[№ п/п]],'Спецификация 25'!$1:$1048576,2,0)</f>
        <v>Адреналина гидрохлорид 0,1% 1 мл №5</v>
      </c>
      <c r="G13" s="51" t="str">
        <f>VLOOKUP(Таблица3[[#This Row],[№ п/п]],'Спецификация 25'!$1:$1048576,3,0)</f>
        <v>Эпинефрин</v>
      </c>
      <c r="H13" s="51" t="str">
        <f>VLOOKUP(Таблица3[[#This Row],[№ п/п]],'Спецификация 25'!$1:$1048576,7,0)</f>
        <v>Раствор для инъекций</v>
      </c>
      <c r="I13" s="51" t="str" cm="1">
        <f t="array" ref="I13">IFERROR(INDEX('Спецификация 25'!$G$2:$G$113,MATCH(Таблица3[[#This Row],[№ п/п]]&amp;Таблица3[[#Headers],[Дозировка]],'Спецификация 25'!$A$2:$A$113&amp;'Спецификация 25'!$F$2:$F$113,0)),"нет")</f>
        <v>1 мг/мл.</v>
      </c>
      <c r="J13" s="51" t="str" cm="1">
        <f t="array" ref="J13">IFERROR(INDEX('Спецификация 25'!$G$2:$G$113,MATCH(Таблица3[[#This Row],[№ п/п]]&amp;Таблица3[[#Headers],[Первичная упаковка]],'Спецификация 25'!$A$2:$A$113&amp;'Спецификация 25'!$F$2:$F$113,0)),"нет")</f>
        <v>Ампула</v>
      </c>
      <c r="K13" s="51" t="str" cm="1">
        <f t="array" ref="K13">IFERROR(INDEX('Спецификация 25'!$G$2:$G$113,MATCH(Таблица3[[#This Row],[№ п/п]]&amp;Таблица3[[#Headers],[Описание упаковки]],'Спецификация 25'!$A$2:$A$113&amp;'Спецификация 25'!$F$2:$F$113,0)),"")</f>
        <v>5 амп. по 1 мл</v>
      </c>
      <c r="L13" s="51" t="str">
        <f>VLOOKUP(Таблица3[[#This Row],[№ п/п]],'Спецификация 25'!$1:$1048576,8,0)</f>
        <v>мл</v>
      </c>
      <c r="M13" s="67">
        <v>129.47999999999999</v>
      </c>
      <c r="N13" s="68">
        <v>0.1</v>
      </c>
      <c r="O13" s="69">
        <f>Таблица3[[#This Row],[1 Цена за уп с НДС]]-Таблица3[[#This Row],[1 Цена за уп с НДС]]*(1-1/(1+N13))</f>
        <v>117.70909090909089</v>
      </c>
      <c r="P13" s="70" t="str">
        <f>LEFT(Таблица3[[#This Row],[Описание упаковки]],2)</f>
        <v xml:space="preserve">5 </v>
      </c>
      <c r="Q13"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3" s="71">
        <f>ROUNDDOWN(Таблица3[[#This Row],[1 Цена за уп без НДС]]/Таблица3[[#This Row],[1 Кол-во шт в уп]]/Таблица3[[#This Row],[1 Объем катриджа]],2)</f>
        <v>23.54</v>
      </c>
      <c r="S13" s="95">
        <v>129.49</v>
      </c>
      <c r="T13" s="91">
        <v>0.1</v>
      </c>
      <c r="U13" s="92">
        <f>Таблица3[[#This Row],[2 Цена за уп с НДС]]-(Таблица3[[#This Row],[2 Цена за уп с НДС]]*(1-1/(1+T13)))</f>
        <v>117.71818181818182</v>
      </c>
      <c r="V13" s="93" t="str">
        <f>Таблица3[[#This Row],[1 Кол-во шт в уп]]</f>
        <v xml:space="preserve">5 </v>
      </c>
      <c r="W13" s="93" t="str">
        <f>Таблица3[[#This Row],[1 Объем катриджа]]</f>
        <v>1</v>
      </c>
      <c r="X13" s="94">
        <f>ROUNDDOWN(Таблица3[[#This Row],[2 Цена за уп без НДС и Оптовой над.]]/Таблица3[[#This Row],[2 Кол-во шт в уп]]/Таблица3[[#This Row],[2 Объем катриджа]],2)</f>
        <v>23.54</v>
      </c>
      <c r="Y13" s="72">
        <v>129.88</v>
      </c>
      <c r="Z13" s="68">
        <v>0.1</v>
      </c>
      <c r="AA13" s="69">
        <f>Таблица3[[#This Row],[3 Цена за уп с НДС]]-(Таблица3[[#This Row],[3 Цена за уп с НДС]]*(1-1/(1+Z13)))</f>
        <v>118.07272727272726</v>
      </c>
      <c r="AB13" s="70" t="str">
        <f>Таблица3[[#This Row],[1 Кол-во шт в уп]]</f>
        <v xml:space="preserve">5 </v>
      </c>
      <c r="AC13" s="70" t="str">
        <f>Таблица3[[#This Row],[1 Объем катриджа]]</f>
        <v>1</v>
      </c>
      <c r="AD13" s="102">
        <f>ROUNDDOWN(Таблица3[[#This Row],[3 Цена за уп без НДС и Оптовой над.]]/Таблица3[[#This Row],[3 Кол-во шт в уп]]/Таблица3[[#This Row],[3 Объем катриджа]],2)</f>
        <v>23.61</v>
      </c>
      <c r="AE13" s="100">
        <f>ROUND(MIN(Таблица3[[#This Row],[1 Цена за единицу без НДС]],Таблица3[[#This Row],[2 Цена за единицу без НДС]],Таблица3[[#This Row],[3 Цена за единицу без НДС]]),2)</f>
        <v>23.54</v>
      </c>
      <c r="AF13" s="143">
        <f>VLOOKUP(Таблица3[[#This Row],[№ п/п]],'Спецификация 25'!$1:$1048576,10,0)</f>
        <v>230</v>
      </c>
      <c r="AG13" s="109" t="str">
        <f>Таблица3[[#This Row],[1 Кол-во шт в уп]]</f>
        <v xml:space="preserve">5 </v>
      </c>
      <c r="AH13" s="109" t="str">
        <f>Таблица3[[#This Row],[1 Объем катриджа]]</f>
        <v>1</v>
      </c>
      <c r="AI13" s="110">
        <f>Таблица3[[#This Row],[Кол-во Упак]]*Таблица3[[#This Row],[Объем]]*Таблица3[[#This Row],[Кол-во шт в уп]]</f>
        <v>1150</v>
      </c>
      <c r="AJ13" s="169">
        <f>STDEV(Таблица3[[#This Row],[1 Цена за единицу без НДС]],Таблица3[[#This Row],[2 Цена за единицу без НДС]],Таблица3[[#This Row],[3 Цена за единицу без НДС]])/Таблица3[[#This Row],[Цена за единицу, руб. ]]</f>
        <v>1.7168444708272714E-3</v>
      </c>
      <c r="AK13" s="163">
        <f>Таблица3[[#This Row],[Цена за единицу, руб. ]]*Таблица3[[#This Row],[Кол-во ЛП (мл/шт)]]</f>
        <v>27071</v>
      </c>
      <c r="AL13" s="144">
        <f>ROUND((Таблица3[[#This Row],[Цена за единицу, руб. ]]+Таблица3[[#This Row],[Цена за единицу, руб. ]]*10%),2)*Таблица3[[#This Row],[Кол-во ЛП (мл/шт)]]</f>
        <v>29773.5</v>
      </c>
      <c r="AM13" s="168"/>
    </row>
    <row r="14" spans="1:40" s="65" customFormat="1" ht="25.5" x14ac:dyDescent="0.25">
      <c r="A14" s="51">
        <v>7</v>
      </c>
      <c r="B14" s="51">
        <v>6</v>
      </c>
      <c r="C14" s="107"/>
      <c r="D14" s="51" t="s">
        <v>297</v>
      </c>
      <c r="E14" s="51"/>
      <c r="F14" s="51" t="str">
        <f>VLOOKUP(Таблица3[[#This Row],[№ п/п]],'Спецификация 25'!$1:$1048576,2,0)</f>
        <v>Фуросемид 1% 2 мл 10</v>
      </c>
      <c r="G14" s="51" t="str">
        <f>VLOOKUP(Таблица3[[#This Row],[№ п/п]],'Спецификация 25'!$1:$1048576,3,0)</f>
        <v>Фуросемид</v>
      </c>
      <c r="H14" s="51" t="str">
        <f>VLOOKUP(Таблица3[[#This Row],[№ п/п]],'Спецификация 25'!$1:$1048576,7,0)</f>
        <v>Раствор для внутривенного и внутримышечного введения</v>
      </c>
      <c r="I14" s="51" t="str" cm="1">
        <f t="array" ref="I14">IFERROR(INDEX('Спецификация 25'!$G$2:$G$113,MATCH(Таблица3[[#This Row],[№ п/п]]&amp;Таблица3[[#Headers],[Дозировка]],'Спецификация 25'!$A$2:$A$113&amp;'Спецификация 25'!$F$2:$F$113,0)),"нет")</f>
        <v>10 мг/мл.</v>
      </c>
      <c r="J14" s="51" t="str" cm="1">
        <f t="array" ref="J14">IFERROR(INDEX('Спецификация 25'!$G$2:$G$113,MATCH(Таблица3[[#This Row],[№ п/п]]&amp;Таблица3[[#Headers],[Первичная упаковка]],'Спецификация 25'!$A$2:$A$113&amp;'Спецификация 25'!$F$2:$F$113,0)),"нет")</f>
        <v>Ампула</v>
      </c>
      <c r="K14" s="51" t="str" cm="1">
        <f t="array" ref="K14">IFERROR(INDEX('Спецификация 25'!$G$2:$G$113,MATCH(Таблица3[[#This Row],[№ п/п]]&amp;Таблица3[[#Headers],[Описание упаковки]],'Спецификация 25'!$A$2:$A$113&amp;'Спецификация 25'!$F$2:$F$113,0)),"")</f>
        <v>10 амп. по 2 мл</v>
      </c>
      <c r="L14" s="51" t="str">
        <f>VLOOKUP(Таблица3[[#This Row],[№ п/п]],'Спецификация 25'!$1:$1048576,8,0)</f>
        <v>мл</v>
      </c>
      <c r="M14" s="67">
        <v>87</v>
      </c>
      <c r="N14" s="68">
        <v>0.1</v>
      </c>
      <c r="O14" s="69">
        <f>Таблица3[[#This Row],[1 Цена за уп с НДС]]-Таблица3[[#This Row],[1 Цена за уп с НДС]]*(1-1/(1+N14))</f>
        <v>79.090909090909093</v>
      </c>
      <c r="P14" s="70" t="str">
        <f>LEFT(Таблица3[[#This Row],[Описание упаковки]],2)</f>
        <v>10</v>
      </c>
      <c r="Q14"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2</v>
      </c>
      <c r="R14" s="71">
        <f>ROUNDDOWN(Таблица3[[#This Row],[1 Цена за уп без НДС]]/Таблица3[[#This Row],[1 Кол-во шт в уп]]/Таблица3[[#This Row],[1 Объем катриджа]],2)</f>
        <v>3.95</v>
      </c>
      <c r="S14" s="95">
        <v>87.01</v>
      </c>
      <c r="T14" s="91">
        <v>0.1</v>
      </c>
      <c r="U14" s="92">
        <f>Таблица3[[#This Row],[2 Цена за уп с НДС]]-(Таблица3[[#This Row],[2 Цена за уп с НДС]]*(1-1/(1+T14)))</f>
        <v>79.100000000000009</v>
      </c>
      <c r="V14" s="93" t="str">
        <f>Таблица3[[#This Row],[1 Кол-во шт в уп]]</f>
        <v>10</v>
      </c>
      <c r="W14" s="93" t="str">
        <f>Таблица3[[#This Row],[1 Объем катриджа]]</f>
        <v>2</v>
      </c>
      <c r="X14" s="94">
        <f>ROUNDDOWN(Таблица3[[#This Row],[2 Цена за уп без НДС и Оптовой над.]]/Таблица3[[#This Row],[2 Кол-во шт в уп]]/Таблица3[[#This Row],[2 Объем катриджа]],2)</f>
        <v>3.95</v>
      </c>
      <c r="Y14" s="72">
        <v>87.27</v>
      </c>
      <c r="Z14" s="68">
        <v>0.1</v>
      </c>
      <c r="AA14" s="69">
        <f>Таблица3[[#This Row],[3 Цена за уп с НДС]]-(Таблица3[[#This Row],[3 Цена за уп с НДС]]*(1-1/(1+Z14)))</f>
        <v>79.336363636363629</v>
      </c>
      <c r="AB14" s="70" t="str">
        <f>Таблица3[[#This Row],[1 Кол-во шт в уп]]</f>
        <v>10</v>
      </c>
      <c r="AC14" s="70" t="str">
        <f>Таблица3[[#This Row],[1 Объем катриджа]]</f>
        <v>2</v>
      </c>
      <c r="AD14" s="102">
        <f>ROUNDDOWN(Таблица3[[#This Row],[3 Цена за уп без НДС и Оптовой над.]]/Таблица3[[#This Row],[3 Кол-во шт в уп]]/Таблица3[[#This Row],[3 Объем катриджа]],2)</f>
        <v>3.96</v>
      </c>
      <c r="AE14" s="100">
        <f>ROUND(MIN(Таблица3[[#This Row],[1 Цена за единицу без НДС]],Таблица3[[#This Row],[2 Цена за единицу без НДС]],Таблица3[[#This Row],[3 Цена за единицу без НДС]]),2)</f>
        <v>3.95</v>
      </c>
      <c r="AF14" s="143">
        <f>VLOOKUP(Таблица3[[#This Row],[№ п/п]],'Спецификация 25'!$1:$1048576,10,0)</f>
        <v>6</v>
      </c>
      <c r="AG14" s="109" t="str">
        <f>Таблица3[[#This Row],[1 Кол-во шт в уп]]</f>
        <v>10</v>
      </c>
      <c r="AH14" s="109" t="str">
        <f>Таблица3[[#This Row],[1 Объем катриджа]]</f>
        <v>2</v>
      </c>
      <c r="AI14" s="110">
        <f>Таблица3[[#This Row],[Кол-во Упак]]*Таблица3[[#This Row],[Объем]]*Таблица3[[#This Row],[Кол-во шт в уп]]</f>
        <v>120</v>
      </c>
      <c r="AJ14" s="169">
        <f>STDEV(Таблица3[[#This Row],[1 Цена за единицу без НДС]],Таблица3[[#This Row],[2 Цена за единицу без НДС]],Таблица3[[#This Row],[3 Цена за единицу без НДС]])/Таблица3[[#This Row],[Цена за единицу, руб. ]]</f>
        <v>1.4616462511129454E-3</v>
      </c>
      <c r="AK14" s="163">
        <f>Таблица3[[#This Row],[Цена за единицу, руб. ]]*Таблица3[[#This Row],[Кол-во ЛП (мл/шт)]]</f>
        <v>474</v>
      </c>
      <c r="AL14" s="144">
        <f>ROUND((Таблица3[[#This Row],[Цена за единицу, руб. ]]+Таблица3[[#This Row],[Цена за единицу, руб. ]]*10%),2)*Таблица3[[#This Row],[Кол-во ЛП (мл/шт)]]</f>
        <v>522</v>
      </c>
      <c r="AM14" s="168"/>
    </row>
    <row r="15" spans="1:40" s="65" customFormat="1" ht="25.5" x14ac:dyDescent="0.25">
      <c r="A15" s="51">
        <v>8</v>
      </c>
      <c r="B15" s="51">
        <v>7</v>
      </c>
      <c r="C15" s="51"/>
      <c r="D15" s="51" t="s">
        <v>297</v>
      </c>
      <c r="E15" s="51"/>
      <c r="F15" s="51" t="str">
        <f>VLOOKUP(Таблица3[[#This Row],[№ п/п]],'Спецификация 25'!$1:$1048576,2,0)</f>
        <v>Эуфиллин 2,4% 5 мл №10</v>
      </c>
      <c r="G15" s="51" t="str">
        <f>VLOOKUP(Таблица3[[#This Row],[№ п/п]],'Спецификация 25'!$1:$1048576,3,0)</f>
        <v>Аминофиллин</v>
      </c>
      <c r="H15" s="51" t="str">
        <f>VLOOKUP(Таблица3[[#This Row],[№ п/п]],'Спецификация 25'!$1:$1048576,7,0)</f>
        <v>Раствор для внутривенного введения</v>
      </c>
      <c r="I15" s="51" t="str" cm="1">
        <f t="array" ref="I15">IFERROR(INDEX('Спецификация 25'!$G$2:$G$113,MATCH(Таблица3[[#This Row],[№ п/п]]&amp;Таблица3[[#Headers],[Дозировка]],'Спецификация 25'!$A$2:$A$113&amp;'Спецификация 25'!$F$2:$F$113,0)),"нет")</f>
        <v>24 мг/мл.</v>
      </c>
      <c r="J15" s="51" t="str" cm="1">
        <f t="array" ref="J15">IFERROR(INDEX('Спецификация 25'!$G$2:$G$113,MATCH(Таблица3[[#This Row],[№ п/п]]&amp;Таблица3[[#Headers],[Первичная упаковка]],'Спецификация 25'!$A$2:$A$113&amp;'Спецификация 25'!$F$2:$F$113,0)),"нет")</f>
        <v>Ампула</v>
      </c>
      <c r="K15" s="51" t="str" cm="1">
        <f t="array" ref="K15">IFERROR(INDEX('Спецификация 25'!$G$2:$G$113,MATCH(Таблица3[[#This Row],[№ п/п]]&amp;Таблица3[[#Headers],[Описание упаковки]],'Спецификация 25'!$A$2:$A$113&amp;'Спецификация 25'!$F$2:$F$113,0)),"")</f>
        <v>10 амп. по 5 мл</v>
      </c>
      <c r="L15" s="51" t="str">
        <f>VLOOKUP(Таблица3[[#This Row],[№ п/п]],'Спецификация 25'!$1:$1048576,8,0)</f>
        <v>мл</v>
      </c>
      <c r="M15" s="72">
        <v>99.96</v>
      </c>
      <c r="N15" s="68">
        <v>0.1</v>
      </c>
      <c r="O15" s="69">
        <f>Таблица3[[#This Row],[1 Цена за уп с НДС]]-Таблица3[[#This Row],[1 Цена за уп с НДС]]*(1-1/(1+N15))</f>
        <v>90.872727272727261</v>
      </c>
      <c r="P15" s="70" t="str">
        <f>LEFT(Таблица3[[#This Row],[Описание упаковки]],2)</f>
        <v>10</v>
      </c>
      <c r="Q15"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5</v>
      </c>
      <c r="R15" s="71">
        <f>ROUNDDOWN(Таблица3[[#This Row],[1 Цена за уп без НДС]]/Таблица3[[#This Row],[1 Кол-во шт в уп]]/Таблица3[[#This Row],[1 Объем катриджа]],2)</f>
        <v>1.81</v>
      </c>
      <c r="S15" s="95">
        <v>99.97</v>
      </c>
      <c r="T15" s="91">
        <v>0.1</v>
      </c>
      <c r="U15" s="92">
        <f>Таблица3[[#This Row],[2 Цена за уп с НДС]]-(Таблица3[[#This Row],[2 Цена за уп с НДС]]*(1-1/(1+T15)))</f>
        <v>90.881818181818176</v>
      </c>
      <c r="V15" s="93" t="str">
        <f>Таблица3[[#This Row],[1 Кол-во шт в уп]]</f>
        <v>10</v>
      </c>
      <c r="W15" s="93" t="str">
        <f>Таблица3[[#This Row],[1 Объем катриджа]]</f>
        <v>5</v>
      </c>
      <c r="X15" s="94">
        <f>ROUNDDOWN(Таблица3[[#This Row],[2 Цена за уп без НДС и Оптовой над.]]/Таблица3[[#This Row],[2 Кол-во шт в уп]]/Таблица3[[#This Row],[2 Объем катриджа]],2)</f>
        <v>1.81</v>
      </c>
      <c r="Y15" s="72">
        <v>100.27</v>
      </c>
      <c r="Z15" s="68">
        <v>0.1</v>
      </c>
      <c r="AA15" s="69">
        <f>Таблица3[[#This Row],[3 Цена за уп с НДС]]-(Таблица3[[#This Row],[3 Цена за уп с НДС]]*(1-1/(1+Z15)))</f>
        <v>91.154545454545442</v>
      </c>
      <c r="AB15" s="70" t="str">
        <f>Таблица3[[#This Row],[1 Кол-во шт в уп]]</f>
        <v>10</v>
      </c>
      <c r="AC15" s="70" t="str">
        <f>Таблица3[[#This Row],[1 Объем катриджа]]</f>
        <v>5</v>
      </c>
      <c r="AD15" s="71">
        <f>ROUNDDOWN(Таблица3[[#This Row],[3 Цена за уп без НДС и Оптовой над.]]/Таблица3[[#This Row],[3 Кол-во шт в уп]]/Таблица3[[#This Row],[3 Объем катриджа]],2)</f>
        <v>1.82</v>
      </c>
      <c r="AE15" s="100">
        <f>ROUND(MIN(Таблица3[[#This Row],[1 Цена за единицу без НДС]],Таблица3[[#This Row],[2 Цена за единицу без НДС]],Таблица3[[#This Row],[3 Цена за единицу без НДС]]),2)</f>
        <v>1.81</v>
      </c>
      <c r="AF15" s="143">
        <f>VLOOKUP(Таблица3[[#This Row],[№ п/п]],'Спецификация 25'!$1:$1048576,10,0)</f>
        <v>6</v>
      </c>
      <c r="AG15" s="109" t="str">
        <f>Таблица3[[#This Row],[1 Кол-во шт в уп]]</f>
        <v>10</v>
      </c>
      <c r="AH15" s="109" t="str">
        <f>Таблица3[[#This Row],[1 Объем катриджа]]</f>
        <v>5</v>
      </c>
      <c r="AI15" s="110">
        <f>Таблица3[[#This Row],[Кол-во Упак]]*Таблица3[[#This Row],[Объем]]*Таблица3[[#This Row],[Кол-во шт в уп]]</f>
        <v>300</v>
      </c>
      <c r="AJ15" s="169">
        <f>STDEV(Таблица3[[#This Row],[1 Цена за единицу без НДС]],Таблица3[[#This Row],[2 Цена за единицу без НДС]],Таблица3[[#This Row],[3 Цена за единицу без НДС]])/Таблица3[[#This Row],[Цена за единицу, руб. ]]</f>
        <v>3.1897804927603665E-3</v>
      </c>
      <c r="AK15" s="163">
        <f>Таблица3[[#This Row],[Цена за единицу, руб. ]]*Таблица3[[#This Row],[Кол-во ЛП (мл/шт)]]</f>
        <v>543</v>
      </c>
      <c r="AL15" s="144">
        <f>ROUND((Таблица3[[#This Row],[Цена за единицу, руб. ]]+Таблица3[[#This Row],[Цена за единицу, руб. ]]*10%),2)*Таблица3[[#This Row],[Кол-во ЛП (мл/шт)]]</f>
        <v>597</v>
      </c>
      <c r="AM15" s="168"/>
    </row>
    <row r="16" spans="1:40" s="65" customFormat="1" ht="25.5" x14ac:dyDescent="0.25">
      <c r="A16" s="51">
        <v>9</v>
      </c>
      <c r="B16" s="51">
        <v>8</v>
      </c>
      <c r="C16" s="107"/>
      <c r="D16" s="51" t="s">
        <v>180</v>
      </c>
      <c r="E16" s="51"/>
      <c r="F16" s="51" t="str">
        <f>VLOOKUP(Таблица3[[#This Row],[№ п/п]],'Спецификация 25'!$1:$1048576,2,0)</f>
        <v>Пустырника настойка 25 мл</v>
      </c>
      <c r="G16" s="51" t="str">
        <f>VLOOKUP(Таблица3[[#This Row],[№ п/п]],'Спецификация 25'!$1:$1048576,3,0)</f>
        <v>Пустырника травы настойка</v>
      </c>
      <c r="H16" s="51" t="str">
        <f>VLOOKUP(Таблица3[[#This Row],[№ п/п]],'Спецификация 25'!$1:$1048576,7,0)</f>
        <v>Настойка</v>
      </c>
      <c r="I16" s="51" t="str" cm="1">
        <f t="array" ref="I16">IFERROR(INDEX('Спецификация 25'!$G$2:$G$113,MATCH(Таблица3[[#This Row],[№ п/п]]&amp;Таблица3[[#Headers],[Дозировка]],'Спецификация 25'!$A$2:$A$113&amp;'Спецификация 25'!$F$2:$F$113,0)),"нет")</f>
        <v>нет</v>
      </c>
      <c r="J16" s="51" t="str" cm="1">
        <f t="array" ref="J16">IFERROR(INDEX('Спецификация 25'!$G$2:$G$113,MATCH(Таблица3[[#This Row],[№ п/п]]&amp;Таблица3[[#Headers],[Первичная упаковка]],'Спецификация 25'!$A$2:$A$113&amp;'Спецификация 25'!$F$2:$F$113,0)),"нет")</f>
        <v>Флакон</v>
      </c>
      <c r="K16" s="51" t="str" cm="1">
        <f t="array" ref="K16">IFERROR(INDEX('Спецификация 25'!$G$2:$G$113,MATCH(Таблица3[[#This Row],[№ п/п]]&amp;Таблица3[[#Headers],[Описание упаковки]],'Спецификация 25'!$A$2:$A$113&amp;'Спецификация 25'!$F$2:$F$113,0)),"")</f>
        <v>25 мл</v>
      </c>
      <c r="L16" s="51" t="str">
        <f>VLOOKUP(Таблица3[[#This Row],[№ п/п]],'Спецификация 25'!$1:$1048576,8,0)</f>
        <v>мл</v>
      </c>
      <c r="M16" s="67">
        <v>49.5</v>
      </c>
      <c r="N16" s="68">
        <v>0.1</v>
      </c>
      <c r="O16" s="69">
        <f>Таблица3[[#This Row],[1 Цена за уп с НДС]]-Таблица3[[#This Row],[1 Цена за уп с НДС]]*(1-1/(1+N16))</f>
        <v>45</v>
      </c>
      <c r="P16" s="70" t="str">
        <f>LEFT(Таблица3[[#This Row],[Описание упаковки]],2)</f>
        <v>25</v>
      </c>
      <c r="Q16"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6" s="71">
        <f>ROUNDDOWN(Таблица3[[#This Row],[1 Цена за уп без НДС]]/Таблица3[[#This Row],[1 Кол-во шт в уп]]/Таблица3[[#This Row],[1 Объем катриджа]],2)</f>
        <v>1.8</v>
      </c>
      <c r="S16" s="95">
        <v>50.5</v>
      </c>
      <c r="T16" s="91">
        <v>0.1</v>
      </c>
      <c r="U16" s="92">
        <f>Таблица3[[#This Row],[2 Цена за уп с НДС]]-(Таблица3[[#This Row],[2 Цена за уп с НДС]]*(1-1/(1+T16)))</f>
        <v>45.909090909090907</v>
      </c>
      <c r="V16" s="93" t="str">
        <f>Таблица3[[#This Row],[1 Кол-во шт в уп]]</f>
        <v>25</v>
      </c>
      <c r="W16" s="93">
        <f>Таблица3[[#This Row],[1 Объем катриджа]]</f>
        <v>1</v>
      </c>
      <c r="X16" s="94">
        <f>ROUNDDOWN(Таблица3[[#This Row],[2 Цена за уп без НДС и Оптовой над.]]/Таблица3[[#This Row],[2 Кол-во шт в уп]]/Таблица3[[#This Row],[2 Объем катриджа]],2)</f>
        <v>1.83</v>
      </c>
      <c r="Y16" s="72">
        <v>50.65</v>
      </c>
      <c r="Z16" s="68">
        <v>0.1</v>
      </c>
      <c r="AA16" s="69">
        <f>Таблица3[[#This Row],[3 Цена за уп с НДС]]-(Таблица3[[#This Row],[3 Цена за уп с НДС]]*(1-1/(1+Z16)))</f>
        <v>46.04545454545454</v>
      </c>
      <c r="AB16" s="70" t="str">
        <f>Таблица3[[#This Row],[1 Кол-во шт в уп]]</f>
        <v>25</v>
      </c>
      <c r="AC16" s="70">
        <f>Таблица3[[#This Row],[1 Объем катриджа]]</f>
        <v>1</v>
      </c>
      <c r="AD16" s="102">
        <f>ROUNDDOWN(Таблица3[[#This Row],[3 Цена за уп без НДС и Оптовой над.]]/Таблица3[[#This Row],[3 Кол-во шт в уп]]/Таблица3[[#This Row],[3 Объем катриджа]],2)</f>
        <v>1.84</v>
      </c>
      <c r="AE16" s="100">
        <f>ROUND(MIN(Таблица3[[#This Row],[1 Цена за единицу без НДС]],Таблица3[[#This Row],[2 Цена за единицу без НДС]],Таблица3[[#This Row],[3 Цена за единицу без НДС]]),2)</f>
        <v>1.8</v>
      </c>
      <c r="AF16" s="143">
        <f>VLOOKUP(Таблица3[[#This Row],[№ п/п]],'Спецификация 25'!$1:$1048576,10,0)</f>
        <v>20</v>
      </c>
      <c r="AG16" s="109" t="str">
        <f>Таблица3[[#This Row],[1 Кол-во шт в уп]]</f>
        <v>25</v>
      </c>
      <c r="AH16" s="109">
        <f>Таблица3[[#This Row],[1 Объем катриджа]]</f>
        <v>1</v>
      </c>
      <c r="AI16" s="110">
        <f>Таблица3[[#This Row],[Кол-во Упак]]*Таблица3[[#This Row],[Объем]]*Таблица3[[#This Row],[Кол-во шт в уп]]</f>
        <v>500</v>
      </c>
      <c r="AJ16" s="169">
        <f>STDEV(Таблица3[[#This Row],[1 Цена за единицу без НДС]],Таблица3[[#This Row],[2 Цена за единицу без НДС]],Таблица3[[#This Row],[3 Цена за единицу без НДС]])/Таблица3[[#This Row],[Цена за единицу, руб. ]]</f>
        <v>1.156481110814519E-2</v>
      </c>
      <c r="AK16" s="163">
        <f>Таблица3[[#This Row],[Цена за единицу, руб. ]]*Таблица3[[#This Row],[Кол-во ЛП (мл/шт)]]</f>
        <v>900</v>
      </c>
      <c r="AL16" s="144">
        <f>ROUND((Таблица3[[#This Row],[Цена за единицу, руб. ]]+Таблица3[[#This Row],[Цена за единицу, руб. ]]*10%),2)*Таблица3[[#This Row],[Кол-во ЛП (мл/шт)]]</f>
        <v>990</v>
      </c>
      <c r="AM16" s="168"/>
    </row>
    <row r="17" spans="1:39" s="65" customFormat="1" ht="38.25" x14ac:dyDescent="0.25">
      <c r="A17" s="51">
        <v>10</v>
      </c>
      <c r="B17" s="51">
        <v>9</v>
      </c>
      <c r="C17" s="51"/>
      <c r="D17" s="51" t="s">
        <v>180</v>
      </c>
      <c r="E17" s="51"/>
      <c r="F17" s="51" t="str">
        <f>VLOOKUP(Таблица3[[#This Row],[№ п/п]],'Спецификация 25'!$1:$1048576,2,0)</f>
        <v>Валерианы настойка 25 мл</v>
      </c>
      <c r="G17" s="51" t="str">
        <f>VLOOKUP(Таблица3[[#This Row],[№ п/п]],'Спецификация 25'!$1:$1048576,3,0)</f>
        <v>Валерианы лекарственной корневища с корнями</v>
      </c>
      <c r="H17" s="51" t="str">
        <f>VLOOKUP(Таблица3[[#This Row],[№ п/п]],'Спецификация 25'!$1:$1048576,7,0)</f>
        <v>Настойка</v>
      </c>
      <c r="I17" s="51" t="str" cm="1">
        <f t="array" ref="I17">IFERROR(INDEX('Спецификация 25'!$G$2:$G$113,MATCH(Таблица3[[#This Row],[№ п/п]]&amp;Таблица3[[#Headers],[Дозировка]],'Спецификация 25'!$A$2:$A$113&amp;'Спецификация 25'!$F$2:$F$113,0)),"нет")</f>
        <v>нет</v>
      </c>
      <c r="J17" s="51" t="str" cm="1">
        <f t="array" ref="J17">IFERROR(INDEX('Спецификация 25'!$G$2:$G$113,MATCH(Таблица3[[#This Row],[№ п/п]]&amp;Таблица3[[#Headers],[Первичная упаковка]],'Спецификация 25'!$A$2:$A$113&amp;'Спецификация 25'!$F$2:$F$113,0)),"нет")</f>
        <v>Флакон</v>
      </c>
      <c r="K17" s="51" t="str" cm="1">
        <f t="array" ref="K17">IFERROR(INDEX('Спецификация 25'!$G$2:$G$113,MATCH(Таблица3[[#This Row],[№ п/п]]&amp;Таблица3[[#Headers],[Описание упаковки]],'Спецификация 25'!$A$2:$A$113&amp;'Спецификация 25'!$F$2:$F$113,0)),"")</f>
        <v>25 мл</v>
      </c>
      <c r="L17" s="51" t="str">
        <f>VLOOKUP(Таблица3[[#This Row],[№ п/п]],'Спецификация 25'!$1:$1048576,8,0)</f>
        <v>мл</v>
      </c>
      <c r="M17" s="72">
        <v>70</v>
      </c>
      <c r="N17" s="68">
        <v>0.1</v>
      </c>
      <c r="O17" s="69">
        <f>Таблица3[[#This Row],[1 Цена за уп с НДС]]-Таблица3[[#This Row],[1 Цена за уп с НДС]]*(1-1/(1+N17))</f>
        <v>63.636363636363633</v>
      </c>
      <c r="P17" s="70" t="str">
        <f>LEFT(Таблица3[[#This Row],[Описание упаковки]],2)</f>
        <v>25</v>
      </c>
      <c r="Q17"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7" s="71">
        <f>ROUNDDOWN(Таблица3[[#This Row],[1 Цена за уп без НДС]]/Таблица3[[#This Row],[1 Кол-во шт в уп]]/Таблица3[[#This Row],[1 Объем катриджа]],2)</f>
        <v>2.54</v>
      </c>
      <c r="S17" s="95">
        <v>71</v>
      </c>
      <c r="T17" s="91">
        <v>0.1</v>
      </c>
      <c r="U17" s="92">
        <f>Таблица3[[#This Row],[2 Цена за уп с НДС]]-(Таблица3[[#This Row],[2 Цена за уп с НДС]]*(1-1/(1+T17)))</f>
        <v>64.545454545454547</v>
      </c>
      <c r="V17" s="93" t="str">
        <f>Таблица3[[#This Row],[1 Кол-во шт в уп]]</f>
        <v>25</v>
      </c>
      <c r="W17" s="93">
        <f>Таблица3[[#This Row],[1 Объем катриджа]]</f>
        <v>1</v>
      </c>
      <c r="X17" s="94">
        <f>ROUNDDOWN(Таблица3[[#This Row],[2 Цена за уп без НДС и Оптовой над.]]/Таблица3[[#This Row],[2 Кол-во шт в уп]]/Таблица3[[#This Row],[2 Объем катриджа]],2)</f>
        <v>2.58</v>
      </c>
      <c r="Y17" s="72">
        <v>71.209999999999994</v>
      </c>
      <c r="Z17" s="68">
        <v>0.1</v>
      </c>
      <c r="AA17" s="69">
        <f>Таблица3[[#This Row],[3 Цена за уп с НДС]]-(Таблица3[[#This Row],[3 Цена за уп с НДС]]*(1-1/(1+Z17)))</f>
        <v>64.736363636363635</v>
      </c>
      <c r="AB17" s="70" t="str">
        <f>Таблица3[[#This Row],[1 Кол-во шт в уп]]</f>
        <v>25</v>
      </c>
      <c r="AC17" s="70">
        <f>Таблица3[[#This Row],[1 Объем катриджа]]</f>
        <v>1</v>
      </c>
      <c r="AD17" s="102">
        <f>ROUNDDOWN(Таблица3[[#This Row],[3 Цена за уп без НДС и Оптовой над.]]/Таблица3[[#This Row],[3 Кол-во шт в уп]]/Таблица3[[#This Row],[3 Объем катриджа]],2)</f>
        <v>2.58</v>
      </c>
      <c r="AE17" s="100">
        <f>ROUND(MIN(Таблица3[[#This Row],[1 Цена за единицу без НДС]],Таблица3[[#This Row],[2 Цена за единицу без НДС]],Таблица3[[#This Row],[3 Цена за единицу без НДС]]),2)</f>
        <v>2.54</v>
      </c>
      <c r="AF17" s="143">
        <f>VLOOKUP(Таблица3[[#This Row],[№ п/п]],'Спецификация 25'!$1:$1048576,10,0)</f>
        <v>20</v>
      </c>
      <c r="AG17" s="109" t="str">
        <f>Таблица3[[#This Row],[1 Кол-во шт в уп]]</f>
        <v>25</v>
      </c>
      <c r="AH17" s="109">
        <f>Таблица3[[#This Row],[1 Объем катриджа]]</f>
        <v>1</v>
      </c>
      <c r="AI17" s="110">
        <f>Таблица3[[#This Row],[Кол-во Упак]]*Таблица3[[#This Row],[Объем]]*Таблица3[[#This Row],[Кол-во шт в уп]]</f>
        <v>500</v>
      </c>
      <c r="AJ17" s="169">
        <f>STDEV(Таблица3[[#This Row],[1 Цена за единицу без НДС]],Таблица3[[#This Row],[2 Цена за единицу без НДС]],Таблица3[[#This Row],[3 Цена за единицу без НДС]])/Таблица3[[#This Row],[Цена за единицу, руб. ]]</f>
        <v>9.0921302234586807E-3</v>
      </c>
      <c r="AK17" s="163">
        <f>Таблица3[[#This Row],[Цена за единицу, руб. ]]*Таблица3[[#This Row],[Кол-во ЛП (мл/шт)]]</f>
        <v>1270</v>
      </c>
      <c r="AL17" s="144">
        <f>ROUND((Таблица3[[#This Row],[Цена за единицу, руб. ]]+Таблица3[[#This Row],[Цена за единицу, руб. ]]*10%),2)*Таблица3[[#This Row],[Кол-во ЛП (мл/шт)]]</f>
        <v>1395</v>
      </c>
      <c r="AM17" s="168"/>
    </row>
    <row r="18" spans="1:39" s="65" customFormat="1" ht="25.5" hidden="1" x14ac:dyDescent="0.25">
      <c r="A18" s="51">
        <v>11</v>
      </c>
      <c r="B18" s="51"/>
      <c r="C18" s="107"/>
      <c r="D18" s="51" t="s">
        <v>180</v>
      </c>
      <c r="E18" s="51"/>
      <c r="F18" s="51" t="str">
        <f>VLOOKUP(Таблица3[[#This Row],[№ п/п]],'Спецификация 25'!$1:$1048576,2,0)</f>
        <v>Ацетилсалициловая кислота 500 мг №10</v>
      </c>
      <c r="G18" s="51" t="str">
        <f>VLOOKUP(Таблица3[[#This Row],[№ п/п]],'Спецификация 25'!$1:$1048576,3,0)</f>
        <v>Ацетилсалициловая кислота</v>
      </c>
      <c r="H18" s="51" t="str">
        <f>VLOOKUP(Таблица3[[#This Row],[№ п/п]],'Спецификация 25'!$1:$1048576,7,0)</f>
        <v>Таблетки</v>
      </c>
      <c r="I18" s="51" t="str" cm="1">
        <f t="array" ref="I18">IFERROR(INDEX('Спецификация 25'!$G$2:$G$113,MATCH(Таблица3[[#This Row],[№ п/п]]&amp;Таблица3[[#Headers],[Дозировка]],'Спецификация 25'!$A$2:$A$113&amp;'Спецификация 25'!$F$2:$F$113,0)),"нет")</f>
        <v>500 мг</v>
      </c>
      <c r="J18" s="51" t="str" cm="1">
        <f t="array" ref="J18">IFERROR(INDEX('Спецификация 25'!$G$2:$G$113,MATCH(Таблица3[[#This Row],[№ п/п]]&amp;Таблица3[[#Headers],[Первичная упаковка]],'Спецификация 25'!$A$2:$A$113&amp;'Спецификация 25'!$F$2:$F$113,0)),"нет")</f>
        <v>нет</v>
      </c>
      <c r="K18" s="51" t="str" cm="1">
        <f t="array" ref="K18">IFERROR(INDEX('Спецификация 25'!$G$2:$G$113,MATCH(Таблица3[[#This Row],[№ п/п]]&amp;Таблица3[[#Headers],[Описание упаковки]],'Спецификация 25'!$A$2:$A$113&amp;'Спецификация 25'!$F$2:$F$113,0)),"")</f>
        <v>10 шт</v>
      </c>
      <c r="L18" s="51" t="str">
        <f>VLOOKUP(Таблица3[[#This Row],[№ п/п]],'Спецификация 25'!$1:$1048576,8,0)</f>
        <v>шт</v>
      </c>
      <c r="M18" s="67"/>
      <c r="N18" s="68">
        <v>0.1</v>
      </c>
      <c r="O18" s="69">
        <f>Таблица3[[#This Row],[1 Цена за уп с НДС]]-Таблица3[[#This Row],[1 Цена за уп с НДС]]*(1-1/(1+N18))</f>
        <v>0</v>
      </c>
      <c r="P18" s="70" t="str">
        <f>LEFT(Таблица3[[#This Row],[Описание упаковки]],2)</f>
        <v>10</v>
      </c>
      <c r="Q18"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8" s="71">
        <f>ROUNDDOWN(Таблица3[[#This Row],[1 Цена за уп без НДС]]/Таблица3[[#This Row],[1 Кол-во шт в уп]]/Таблица3[[#This Row],[1 Объем катриджа]],2)</f>
        <v>0</v>
      </c>
      <c r="S18" s="95"/>
      <c r="T18" s="91">
        <v>0.1</v>
      </c>
      <c r="U18" s="92">
        <f>Таблица3[[#This Row],[2 Цена за уп с НДС]]-(Таблица3[[#This Row],[2 Цена за уп с НДС]]*(1-1/(1+T18)))</f>
        <v>0</v>
      </c>
      <c r="V18" s="93" t="str">
        <f>Таблица3[[#This Row],[1 Кол-во шт в уп]]</f>
        <v>10</v>
      </c>
      <c r="W18" s="93">
        <f>Таблица3[[#This Row],[1 Объем катриджа]]</f>
        <v>1</v>
      </c>
      <c r="X18" s="94">
        <f>ROUNDDOWN(Таблица3[[#This Row],[2 Цена за уп без НДС и Оптовой над.]]/Таблица3[[#This Row],[2 Кол-во шт в уп]]/Таблица3[[#This Row],[2 Объем катриджа]],2)</f>
        <v>0</v>
      </c>
      <c r="Y18" s="72"/>
      <c r="Z18" s="68">
        <v>0.1</v>
      </c>
      <c r="AA18" s="69">
        <f>Таблица3[[#This Row],[3 Цена за уп с НДС]]-(Таблица3[[#This Row],[3 Цена за уп с НДС]]*(1-1/(1+Z18)))</f>
        <v>0</v>
      </c>
      <c r="AB18" s="70" t="str">
        <f>Таблица3[[#This Row],[1 Кол-во шт в уп]]</f>
        <v>10</v>
      </c>
      <c r="AC18" s="70">
        <f>Таблица3[[#This Row],[1 Объем катриджа]]</f>
        <v>1</v>
      </c>
      <c r="AD18" s="102">
        <f>ROUNDDOWN(Таблица3[[#This Row],[3 Цена за уп без НДС и Оптовой над.]]/Таблица3[[#This Row],[3 Кол-во шт в уп]]/Таблица3[[#This Row],[3 Объем катриджа]],2)</f>
        <v>0</v>
      </c>
      <c r="AE18" s="100">
        <f>ROUND(MIN(Таблица3[[#This Row],[1 Цена за единицу без НДС]],Таблица3[[#This Row],[2 Цена за единицу без НДС]],Таблица3[[#This Row],[3 Цена за единицу без НДС]]),2)</f>
        <v>0</v>
      </c>
      <c r="AF18" s="143">
        <f>VLOOKUP(Таблица3[[#This Row],[№ п/п]],'Спецификация 25'!$1:$1048576,10,0)</f>
        <v>0</v>
      </c>
      <c r="AG18" s="109" t="str">
        <f>Таблица3[[#This Row],[1 Кол-во шт в уп]]</f>
        <v>10</v>
      </c>
      <c r="AH18" s="109">
        <f>Таблица3[[#This Row],[1 Объем катриджа]]</f>
        <v>1</v>
      </c>
      <c r="AI18" s="110">
        <f>Таблица3[[#This Row],[Кол-во Упак]]*Таблица3[[#This Row],[Объем]]*Таблица3[[#This Row],[Кол-во шт в уп]]</f>
        <v>0</v>
      </c>
      <c r="AJ18" s="169" t="e">
        <f>STDEV(Таблица3[[#This Row],[1 Цена за единицу без НДС]],Таблица3[[#This Row],[2 Цена за единицу без НДС]],Таблица3[[#This Row],[3 Цена за единицу без НДС]])/Таблица3[[#This Row],[Цена за единицу, руб. ]]</f>
        <v>#DIV/0!</v>
      </c>
      <c r="AK18" s="163">
        <f>Таблица3[[#This Row],[Цена за единицу, руб. ]]*Таблица3[[#This Row],[Кол-во ЛП (мл/шт)]]</f>
        <v>0</v>
      </c>
      <c r="AL18" s="144">
        <f>ROUND((Таблица3[[#This Row],[Цена за единицу, руб. ]]+Таблица3[[#This Row],[Цена за единицу, руб. ]]*10%),2)*Таблица3[[#This Row],[Кол-во ЛП (мл/шт)]]</f>
        <v>0</v>
      </c>
      <c r="AM18" s="168"/>
    </row>
    <row r="19" spans="1:39" s="65" customFormat="1" ht="38.25" x14ac:dyDescent="0.25">
      <c r="A19" s="51">
        <v>12</v>
      </c>
      <c r="B19" s="51">
        <v>10</v>
      </c>
      <c r="C19" s="51"/>
      <c r="D19" s="51" t="s">
        <v>180</v>
      </c>
      <c r="E19" s="51"/>
      <c r="F19" s="51" t="str">
        <f>VLOOKUP(Таблица3[[#This Row],[№ п/п]],'Спецификация 25'!$1:$1048576,2,0)</f>
        <v>Андипал 20 мг+250 мг+20 мг+ 20 мг №10</v>
      </c>
      <c r="G19" s="51" t="str">
        <f>VLOOKUP(Таблица3[[#This Row],[№ п/п]],'Спецификация 25'!$1:$1048576,3,0)</f>
        <v>Бендазол + Метамизол натрия + Папаверин + Фенобарбитал</v>
      </c>
      <c r="H19" s="51" t="str">
        <f>VLOOKUP(Таблица3[[#This Row],[№ п/п]],'Спецификация 25'!$1:$1048576,7,0)</f>
        <v>Таблетки</v>
      </c>
      <c r="I19" s="51" t="str" cm="1">
        <f t="array" ref="I19">IFERROR(INDEX('Спецификация 25'!$G$2:$G$113,MATCH(Таблица3[[#This Row],[№ п/п]]&amp;Таблица3[[#Headers],[Дозировка]],'Спецификация 25'!$A$2:$A$113&amp;'Спецификация 25'!$F$2:$F$113,0)),"нет")</f>
        <v>20 мг+250 мг+20 мг</v>
      </c>
      <c r="J19" s="51" t="str" cm="1">
        <f t="array" ref="J19">IFERROR(INDEX('Спецификация 25'!$G$2:$G$113,MATCH(Таблица3[[#This Row],[№ п/п]]&amp;Таблица3[[#Headers],[Первичная упаковка]],'Спецификация 25'!$A$2:$A$113&amp;'Спецификация 25'!$F$2:$F$113,0)),"нет")</f>
        <v>нет</v>
      </c>
      <c r="K19" s="51" t="str" cm="1">
        <f t="array" ref="K19">IFERROR(INDEX('Спецификация 25'!$G$2:$G$113,MATCH(Таблица3[[#This Row],[№ п/п]]&amp;Таблица3[[#Headers],[Описание упаковки]],'Спецификация 25'!$A$2:$A$113&amp;'Спецификация 25'!$F$2:$F$113,0)),"")</f>
        <v>10 шт</v>
      </c>
      <c r="L19" s="51" t="str">
        <f>VLOOKUP(Таблица3[[#This Row],[№ п/п]],'Спецификация 25'!$1:$1048576,8,0)</f>
        <v>шт</v>
      </c>
      <c r="M19" s="72">
        <v>46</v>
      </c>
      <c r="N19" s="68">
        <v>0.1</v>
      </c>
      <c r="O19" s="69">
        <f>Таблица3[[#This Row],[1 Цена за уп с НДС]]-Таблица3[[#This Row],[1 Цена за уп с НДС]]*(1-1/(1+N19))</f>
        <v>41.818181818181813</v>
      </c>
      <c r="P19" s="70" t="str">
        <f>LEFT(Таблица3[[#This Row],[Описание упаковки]],2)</f>
        <v>10</v>
      </c>
      <c r="Q19"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19" s="71">
        <f>ROUNDDOWN(Таблица3[[#This Row],[1 Цена за уп без НДС]]/Таблица3[[#This Row],[1 Кол-во шт в уп]]/Таблица3[[#This Row],[1 Объем катриджа]],2)</f>
        <v>4.18</v>
      </c>
      <c r="S19" s="95">
        <v>47</v>
      </c>
      <c r="T19" s="91">
        <v>0.1</v>
      </c>
      <c r="U19" s="92">
        <f>Таблица3[[#This Row],[2 Цена за уп с НДС]]-(Таблица3[[#This Row],[2 Цена за уп с НДС]]*(1-1/(1+T19)))</f>
        <v>42.727272727272727</v>
      </c>
      <c r="V19" s="93" t="str">
        <f>Таблица3[[#This Row],[1 Кол-во шт в уп]]</f>
        <v>10</v>
      </c>
      <c r="W19" s="93">
        <f>Таблица3[[#This Row],[1 Объем катриджа]]</f>
        <v>1</v>
      </c>
      <c r="X19" s="94">
        <f>ROUNDDOWN(Таблица3[[#This Row],[2 Цена за уп без НДС и Оптовой над.]]/Таблица3[[#This Row],[2 Кол-во шт в уп]]/Таблица3[[#This Row],[2 Объем катриджа]],2)</f>
        <v>4.2699999999999996</v>
      </c>
      <c r="Y19" s="72">
        <v>47.14</v>
      </c>
      <c r="Z19" s="68">
        <v>0.1</v>
      </c>
      <c r="AA19" s="69">
        <f>Таблица3[[#This Row],[3 Цена за уп с НДС]]-(Таблица3[[#This Row],[3 Цена за уп с НДС]]*(1-1/(1+Z19)))</f>
        <v>42.854545454545452</v>
      </c>
      <c r="AB19" s="70" t="str">
        <f>Таблица3[[#This Row],[1 Кол-во шт в уп]]</f>
        <v>10</v>
      </c>
      <c r="AC19" s="70">
        <f>Таблица3[[#This Row],[1 Объем катриджа]]</f>
        <v>1</v>
      </c>
      <c r="AD19" s="102">
        <f>ROUNDDOWN(Таблица3[[#This Row],[3 Цена за уп без НДС и Оптовой над.]]/Таблица3[[#This Row],[3 Кол-во шт в уп]]/Таблица3[[#This Row],[3 Объем катриджа]],2)</f>
        <v>4.28</v>
      </c>
      <c r="AE19" s="100">
        <f>ROUND(MIN(Таблица3[[#This Row],[1 Цена за единицу без НДС]],Таблица3[[#This Row],[2 Цена за единицу без НДС]],Таблица3[[#This Row],[3 Цена за единицу без НДС]]),2)</f>
        <v>4.18</v>
      </c>
      <c r="AF19" s="143">
        <f>VLOOKUP(Таблица3[[#This Row],[№ п/п]],'Спецификация 25'!$1:$1048576,10,0)</f>
        <v>10</v>
      </c>
      <c r="AG19" s="109" t="str">
        <f>Таблица3[[#This Row],[1 Кол-во шт в уп]]</f>
        <v>10</v>
      </c>
      <c r="AH19" s="109">
        <f>Таблица3[[#This Row],[1 Объем катриджа]]</f>
        <v>1</v>
      </c>
      <c r="AI19" s="110">
        <f>Таблица3[[#This Row],[Кол-во Упак]]*Таблица3[[#This Row],[Объем]]*Таблица3[[#This Row],[Кол-во шт в уп]]</f>
        <v>100</v>
      </c>
      <c r="AJ19" s="169">
        <f>STDEV(Таблица3[[#This Row],[1 Цена за единицу без НДС]],Таблица3[[#This Row],[2 Цена за единицу без НДС]],Таблица3[[#This Row],[3 Цена за единицу без НДС]])/Таблица3[[#This Row],[Цена за единицу, руб. ]]</f>
        <v>1.3176006093985925E-2</v>
      </c>
      <c r="AK19" s="163">
        <f>Таблица3[[#This Row],[Цена за единицу, руб. ]]*Таблица3[[#This Row],[Кол-во ЛП (мл/шт)]]</f>
        <v>418</v>
      </c>
      <c r="AL19" s="144">
        <f>ROUND((Таблица3[[#This Row],[Цена за единицу, руб. ]]+Таблица3[[#This Row],[Цена за единицу, руб. ]]*10%),2)*Таблица3[[#This Row],[Кол-во ЛП (мл/шт)]]</f>
        <v>459.99999999999994</v>
      </c>
      <c r="AM19" s="168"/>
    </row>
    <row r="20" spans="1:39" s="65" customFormat="1" ht="25.5" x14ac:dyDescent="0.25">
      <c r="A20" s="51">
        <v>13</v>
      </c>
      <c r="B20" s="51">
        <v>11</v>
      </c>
      <c r="C20" s="51"/>
      <c r="D20" s="51" t="s">
        <v>180</v>
      </c>
      <c r="E20" s="51"/>
      <c r="F20" s="51" t="str">
        <f>VLOOKUP(Таблица3[[#This Row],[№ п/п]],'Спецификация 25'!$1:$1048576,2,0)</f>
        <v>Валидол 60 мг №10</v>
      </c>
      <c r="G20" s="51" t="str">
        <f>VLOOKUP(Таблица3[[#This Row],[№ п/п]],'Спецификация 25'!$1:$1048576,3,0)</f>
        <v>Левоментола раствор в ментил изовалерате</v>
      </c>
      <c r="H20" s="51" t="str">
        <f>VLOOKUP(Таблица3[[#This Row],[№ п/п]],'Спецификация 25'!$1:$1048576,7,0)</f>
        <v>Таблетки подъязычные</v>
      </c>
      <c r="I20" s="51" t="str" cm="1">
        <f t="array" ref="I20">IFERROR(INDEX('Спецификация 25'!$G$2:$G$113,MATCH(Таблица3[[#This Row],[№ п/п]]&amp;Таблица3[[#Headers],[Дозировка]],'Спецификация 25'!$A$2:$A$113&amp;'Спецификация 25'!$F$2:$F$113,0)),"нет")</f>
        <v>60 мг</v>
      </c>
      <c r="J20" s="51" t="str" cm="1">
        <f t="array" ref="J20">IFERROR(INDEX('Спецификация 25'!$G$2:$G$113,MATCH(Таблица3[[#This Row],[№ п/п]]&amp;Таблица3[[#Headers],[Первичная упаковка]],'Спецификация 25'!$A$2:$A$113&amp;'Спецификация 25'!$F$2:$F$113,0)),"нет")</f>
        <v>нет</v>
      </c>
      <c r="K20" s="51" t="str" cm="1">
        <f t="array" ref="K20">IFERROR(INDEX('Спецификация 25'!$G$2:$G$113,MATCH(Таблица3[[#This Row],[№ п/п]]&amp;Таблица3[[#Headers],[Описание упаковки]],'Спецификация 25'!$A$2:$A$113&amp;'Спецификация 25'!$F$2:$F$113,0)),"")</f>
        <v>10 шт</v>
      </c>
      <c r="L20" s="51" t="str">
        <f>VLOOKUP(Таблица3[[#This Row],[№ п/п]],'Спецификация 25'!$1:$1048576,8,0)</f>
        <v>шт</v>
      </c>
      <c r="M20" s="72">
        <v>24</v>
      </c>
      <c r="N20" s="68">
        <v>0.1</v>
      </c>
      <c r="O20" s="69">
        <f>Таблица3[[#This Row],[1 Цена за уп с НДС]]-Таблица3[[#This Row],[1 Цена за уп с НДС]]*(1-1/(1+N20))</f>
        <v>21.818181818181817</v>
      </c>
      <c r="P20" s="70" t="str">
        <f>LEFT(Таблица3[[#This Row],[Описание упаковки]],2)</f>
        <v>10</v>
      </c>
      <c r="Q20"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0" s="71">
        <f>ROUNDDOWN(Таблица3[[#This Row],[1 Цена за уп без НДС]]/Таблица3[[#This Row],[1 Кол-во шт в уп]]/Таблица3[[#This Row],[1 Объем катриджа]],2)</f>
        <v>2.1800000000000002</v>
      </c>
      <c r="S20" s="95">
        <v>25</v>
      </c>
      <c r="T20" s="91">
        <v>0.1</v>
      </c>
      <c r="U20" s="92">
        <f>Таблица3[[#This Row],[2 Цена за уп с НДС]]-(Таблица3[[#This Row],[2 Цена за уп с НДС]]*(1-1/(1+T20)))</f>
        <v>22.727272727272727</v>
      </c>
      <c r="V20" s="93" t="str">
        <f>Таблица3[[#This Row],[1 Кол-во шт в уп]]</f>
        <v>10</v>
      </c>
      <c r="W20" s="93">
        <f>Таблица3[[#This Row],[1 Объем катриджа]]</f>
        <v>1</v>
      </c>
      <c r="X20" s="94">
        <f>ROUNDDOWN(Таблица3[[#This Row],[2 Цена за уп без НДС и Оптовой над.]]/Таблица3[[#This Row],[2 Кол-во шт в уп]]/Таблица3[[#This Row],[2 Объем катриджа]],2)</f>
        <v>2.27</v>
      </c>
      <c r="Y20" s="72">
        <v>25.08</v>
      </c>
      <c r="Z20" s="68">
        <v>0.1</v>
      </c>
      <c r="AA20" s="69">
        <f>Таблица3[[#This Row],[3 Цена за уп с НДС]]-(Таблица3[[#This Row],[3 Цена за уп с НДС]]*(1-1/(1+Z20)))</f>
        <v>22.799999999999997</v>
      </c>
      <c r="AB20" s="70" t="str">
        <f>Таблица3[[#This Row],[1 Кол-во шт в уп]]</f>
        <v>10</v>
      </c>
      <c r="AC20" s="70">
        <f>Таблица3[[#This Row],[1 Объем катриджа]]</f>
        <v>1</v>
      </c>
      <c r="AD20" s="108">
        <f>ROUNDDOWN(Таблица3[[#This Row],[3 Цена за уп без НДС и Оптовой над.]]/Таблица3[[#This Row],[3 Кол-во шт в уп]]/Таблица3[[#This Row],[3 Объем катриджа]],2)</f>
        <v>2.2799999999999998</v>
      </c>
      <c r="AE20" s="100">
        <f>ROUND(MIN(Таблица3[[#This Row],[1 Цена за единицу без НДС]],Таблица3[[#This Row],[2 Цена за единицу без НДС]],Таблица3[[#This Row],[3 Цена за единицу без НДС]]),2)</f>
        <v>2.1800000000000002</v>
      </c>
      <c r="AF20" s="143">
        <f>VLOOKUP(Таблица3[[#This Row],[№ п/п]],'Спецификация 25'!$1:$1048576,10,0)</f>
        <v>10</v>
      </c>
      <c r="AG20" s="109" t="str">
        <f>Таблица3[[#This Row],[1 Кол-во шт в уп]]</f>
        <v>10</v>
      </c>
      <c r="AH20" s="109">
        <f>Таблица3[[#This Row],[1 Объем катриджа]]</f>
        <v>1</v>
      </c>
      <c r="AI20" s="110">
        <f>Таблица3[[#This Row],[Кол-во Упак]]*Таблица3[[#This Row],[Объем]]*Таблица3[[#This Row],[Кол-во шт в уп]]</f>
        <v>100</v>
      </c>
      <c r="AJ20" s="169">
        <f>STDEV(Таблица3[[#This Row],[1 Цена за единицу без НДС]],Таблица3[[#This Row],[2 Цена за единицу без НДС]],Таблица3[[#This Row],[3 Цена за единицу без НДС]])/Таблица3[[#This Row],[Цена за единицу, руб. ]]</f>
        <v>2.5264085079293973E-2</v>
      </c>
      <c r="AK20" s="163">
        <f>Таблица3[[#This Row],[Цена за единицу, руб. ]]*Таблица3[[#This Row],[Кол-во ЛП (мл/шт)]]</f>
        <v>218.00000000000003</v>
      </c>
      <c r="AL20" s="144">
        <f>ROUND((Таблица3[[#This Row],[Цена за единицу, руб. ]]+Таблица3[[#This Row],[Цена за единицу, руб. ]]*10%),2)*Таблица3[[#This Row],[Кол-во ЛП (мл/шт)]]</f>
        <v>240</v>
      </c>
      <c r="AM20" s="168"/>
    </row>
    <row r="21" spans="1:39" s="65" customFormat="1" ht="14.25" x14ac:dyDescent="0.25">
      <c r="A21" s="51">
        <v>14</v>
      </c>
      <c r="B21" s="51">
        <v>12</v>
      </c>
      <c r="C21" s="107"/>
      <c r="D21" s="51" t="s">
        <v>297</v>
      </c>
      <c r="E21" s="51"/>
      <c r="F21" s="51" t="str">
        <f>VLOOKUP(Таблица3[[#This Row],[№ п/п]],'Спецификация 25'!$1:$1048576,2,0)</f>
        <v>Капотен 25 мг №40</v>
      </c>
      <c r="G21" s="51" t="str">
        <f>VLOOKUP(Таблица3[[#This Row],[№ п/п]],'Спецификация 25'!$1:$1048576,3,0)</f>
        <v>Каптоприл</v>
      </c>
      <c r="H21" s="51" t="str">
        <f>VLOOKUP(Таблица3[[#This Row],[№ п/п]],'Спецификация 25'!$1:$1048576,7,0)</f>
        <v>Таблетки</v>
      </c>
      <c r="I21" s="51" t="str" cm="1">
        <f t="array" ref="I21">IFERROR(INDEX('Спецификация 25'!$G$2:$G$113,MATCH(Таблица3[[#This Row],[№ п/п]]&amp;Таблица3[[#Headers],[Дозировка]],'Спецификация 25'!$A$2:$A$113&amp;'Спецификация 25'!$F$2:$F$113,0)),"нет")</f>
        <v>25 мг</v>
      </c>
      <c r="J21" s="51" t="str" cm="1">
        <f t="array" ref="J21">IFERROR(INDEX('Спецификация 25'!$G$2:$G$113,MATCH(Таблица3[[#This Row],[№ п/п]]&amp;Таблица3[[#Headers],[Первичная упаковка]],'Спецификация 25'!$A$2:$A$113&amp;'Спецификация 25'!$F$2:$F$113,0)),"нет")</f>
        <v>нет</v>
      </c>
      <c r="K21" s="51" t="str" cm="1">
        <f t="array" ref="K21">IFERROR(INDEX('Спецификация 25'!$G$2:$G$113,MATCH(Таблица3[[#This Row],[№ п/п]]&amp;Таблица3[[#Headers],[Описание упаковки]],'Спецификация 25'!$A$2:$A$113&amp;'Спецификация 25'!$F$2:$F$113,0)),"")</f>
        <v>40 шт</v>
      </c>
      <c r="L21" s="51" t="str">
        <f>VLOOKUP(Таблица3[[#This Row],[№ п/п]],'Спецификация 25'!$1:$1048576,8,0)</f>
        <v>шт</v>
      </c>
      <c r="M21" s="67">
        <v>291.58</v>
      </c>
      <c r="N21" s="68">
        <v>0.1</v>
      </c>
      <c r="O21" s="69">
        <f>Таблица3[[#This Row],[1 Цена за уп с НДС]]-Таблица3[[#This Row],[1 Цена за уп с НДС]]*(1-1/(1+N21))</f>
        <v>265.07272727272726</v>
      </c>
      <c r="P21" s="70" t="str">
        <f>LEFT(Таблица3[[#This Row],[Описание упаковки]],2)</f>
        <v>40</v>
      </c>
      <c r="Q21"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1" s="71">
        <f>ROUNDDOWN(Таблица3[[#This Row],[1 Цена за уп без НДС]]/Таблица3[[#This Row],[1 Кол-во шт в уп]]/Таблица3[[#This Row],[1 Объем катриджа]],2)</f>
        <v>6.62</v>
      </c>
      <c r="S21" s="95">
        <v>291.58999999999997</v>
      </c>
      <c r="T21" s="91">
        <v>0.1</v>
      </c>
      <c r="U21" s="92">
        <f>Таблица3[[#This Row],[2 Цена за уп с НДС]]-(Таблица3[[#This Row],[2 Цена за уп с НДС]]*(1-1/(1+T21)))</f>
        <v>265.08181818181816</v>
      </c>
      <c r="V21" s="93" t="str">
        <f>Таблица3[[#This Row],[1 Кол-во шт в уп]]</f>
        <v>40</v>
      </c>
      <c r="W21" s="93">
        <f>Таблица3[[#This Row],[1 Объем катриджа]]</f>
        <v>1</v>
      </c>
      <c r="X21" s="94">
        <f>ROUNDDOWN(Таблица3[[#This Row],[2 Цена за уп без НДС и Оптовой над.]]/Таблица3[[#This Row],[2 Кол-во шт в уп]]/Таблица3[[#This Row],[2 Объем катриджа]],2)</f>
        <v>6.62</v>
      </c>
      <c r="Y21" s="72">
        <v>292.45999999999998</v>
      </c>
      <c r="Z21" s="68">
        <v>0.1</v>
      </c>
      <c r="AA21" s="69">
        <f>Таблица3[[#This Row],[3 Цена за уп с НДС]]-(Таблица3[[#This Row],[3 Цена за уп с НДС]]*(1-1/(1+Z21)))</f>
        <v>265.87272727272727</v>
      </c>
      <c r="AB21" s="70" t="str">
        <f>Таблица3[[#This Row],[1 Кол-во шт в уп]]</f>
        <v>40</v>
      </c>
      <c r="AC21" s="70">
        <f>Таблица3[[#This Row],[1 Объем катриджа]]</f>
        <v>1</v>
      </c>
      <c r="AD21" s="102">
        <f>ROUNDDOWN(Таблица3[[#This Row],[3 Цена за уп без НДС и Оптовой над.]]/Таблица3[[#This Row],[3 Кол-во шт в уп]]/Таблица3[[#This Row],[3 Объем катриджа]],2)</f>
        <v>6.64</v>
      </c>
      <c r="AE21" s="100">
        <f>ROUND(MIN(Таблица3[[#This Row],[1 Цена за единицу без НДС]],Таблица3[[#This Row],[2 Цена за единицу без НДС]],Таблица3[[#This Row],[3 Цена за единицу без НДС]]),2)</f>
        <v>6.62</v>
      </c>
      <c r="AF21" s="143">
        <f>VLOOKUP(Таблица3[[#This Row],[№ п/п]],'Спецификация 25'!$1:$1048576,10,0)</f>
        <v>3</v>
      </c>
      <c r="AG21" s="109" t="str">
        <f>Таблица3[[#This Row],[1 Кол-во шт в уп]]</f>
        <v>40</v>
      </c>
      <c r="AH21" s="109">
        <f>Таблица3[[#This Row],[1 Объем катриджа]]</f>
        <v>1</v>
      </c>
      <c r="AI21" s="110">
        <f>Таблица3[[#This Row],[Кол-во Упак]]*Таблица3[[#This Row],[Объем]]*Таблица3[[#This Row],[Кол-во шт в уп]]</f>
        <v>120</v>
      </c>
      <c r="AJ21" s="169">
        <f>STDEV(Таблица3[[#This Row],[1 Цена за единицу без НДС]],Таблица3[[#This Row],[2 Цена за единицу без НДС]],Таблица3[[#This Row],[3 Цена за единицу без НДС]])/Таблица3[[#This Row],[Цена за единицу, руб. ]]</f>
        <v>1.74426063199279E-3</v>
      </c>
      <c r="AK21" s="163">
        <f>Таблица3[[#This Row],[Цена за единицу, руб. ]]*Таблица3[[#This Row],[Кол-во ЛП (мл/шт)]]</f>
        <v>794.4</v>
      </c>
      <c r="AL21" s="144">
        <f>ROUND((Таблица3[[#This Row],[Цена за единицу, руб. ]]+Таблица3[[#This Row],[Цена за единицу, руб. ]]*10%),2)*Таблица3[[#This Row],[Кол-во ЛП (мл/шт)]]</f>
        <v>873.6</v>
      </c>
      <c r="AM21" s="168"/>
    </row>
    <row r="22" spans="1:39" s="65" customFormat="1" ht="25.5" x14ac:dyDescent="0.25">
      <c r="A22" s="51">
        <v>15</v>
      </c>
      <c r="B22" s="51">
        <v>13</v>
      </c>
      <c r="C22" s="107"/>
      <c r="D22" s="51" t="s">
        <v>297</v>
      </c>
      <c r="E22" s="51"/>
      <c r="F22" s="51" t="str">
        <f>VLOOKUP(Таблица3[[#This Row],[№ п/п]],'Спецификация 25'!$1:$1048576,2,0)</f>
        <v>Кетанов 10 мг № 20</v>
      </c>
      <c r="G22" s="51" t="str">
        <f>VLOOKUP(Таблица3[[#This Row],[№ п/п]],'Спецификация 25'!$1:$1048576,3,0)</f>
        <v xml:space="preserve">Кеторолак </v>
      </c>
      <c r="H22" s="51" t="str">
        <f>VLOOKUP(Таблица3[[#This Row],[№ п/п]],'Спецификация 25'!$1:$1048576,7,0)</f>
        <v>Таблетки покрытые пленочной оболочкой</v>
      </c>
      <c r="I22" s="51" t="str" cm="1">
        <f t="array" ref="I22">IFERROR(INDEX('Спецификация 25'!$G$2:$G$113,MATCH(Таблица3[[#This Row],[№ п/п]]&amp;Таблица3[[#Headers],[Дозировка]],'Спецификация 25'!$A$2:$A$113&amp;'Спецификация 25'!$F$2:$F$113,0)),"нет")</f>
        <v>10 мг</v>
      </c>
      <c r="J22" s="51" t="str" cm="1">
        <f t="array" ref="J22">IFERROR(INDEX('Спецификация 25'!$G$2:$G$113,MATCH(Таблица3[[#This Row],[№ п/п]]&amp;Таблица3[[#Headers],[Первичная упаковка]],'Спецификация 25'!$A$2:$A$113&amp;'Спецификация 25'!$F$2:$F$113,0)),"нет")</f>
        <v>нет</v>
      </c>
      <c r="K22" s="51" t="str" cm="1">
        <f t="array" ref="K22">IFERROR(INDEX('Спецификация 25'!$G$2:$G$113,MATCH(Таблица3[[#This Row],[№ п/п]]&amp;Таблица3[[#Headers],[Описание упаковки]],'Спецификация 25'!$A$2:$A$113&amp;'Спецификация 25'!$F$2:$F$113,0)),"")</f>
        <v>20 шт</v>
      </c>
      <c r="L22" s="51" t="str">
        <f>VLOOKUP(Таблица3[[#This Row],[№ п/п]],'Спецификация 25'!$1:$1048576,8,0)</f>
        <v>шт</v>
      </c>
      <c r="M22" s="67">
        <v>87.29</v>
      </c>
      <c r="N22" s="68">
        <v>0.1</v>
      </c>
      <c r="O22" s="69">
        <f>Таблица3[[#This Row],[1 Цена за уп с НДС]]-Таблица3[[#This Row],[1 Цена за уп с НДС]]*(1-1/(1+N22))</f>
        <v>79.354545454545459</v>
      </c>
      <c r="P22" s="70" t="str">
        <f>LEFT(Таблица3[[#This Row],[Описание упаковки]],2)</f>
        <v>20</v>
      </c>
      <c r="Q22"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2" s="71">
        <f>ROUNDDOWN(Таблица3[[#This Row],[1 Цена за уп без НДС]]/Таблица3[[#This Row],[1 Кол-во шт в уп]]/Таблица3[[#This Row],[1 Объем катриджа]],2)</f>
        <v>3.96</v>
      </c>
      <c r="S22" s="95">
        <v>87.3</v>
      </c>
      <c r="T22" s="91">
        <v>0.1</v>
      </c>
      <c r="U22" s="92">
        <f>Таблица3[[#This Row],[2 Цена за уп с НДС]]-(Таблица3[[#This Row],[2 Цена за уп с НДС]]*(1-1/(1+T22)))</f>
        <v>79.36363636363636</v>
      </c>
      <c r="V22" s="93" t="str">
        <f>Таблица3[[#This Row],[1 Кол-во шт в уп]]</f>
        <v>20</v>
      </c>
      <c r="W22" s="93">
        <f>Таблица3[[#This Row],[1 Объем катриджа]]</f>
        <v>1</v>
      </c>
      <c r="X22" s="94">
        <f>ROUNDDOWN(Таблица3[[#This Row],[2 Цена за уп без НДС и Оптовой над.]]/Таблица3[[#This Row],[2 Кол-во шт в уп]]/Таблица3[[#This Row],[2 Объем катриджа]],2)</f>
        <v>3.96</v>
      </c>
      <c r="Y22" s="72">
        <v>87.56</v>
      </c>
      <c r="Z22" s="68">
        <v>0.1</v>
      </c>
      <c r="AA22" s="69">
        <f>Таблица3[[#This Row],[3 Цена за уп с НДС]]-(Таблица3[[#This Row],[3 Цена за уп с НДС]]*(1-1/(1+Z22)))</f>
        <v>79.599999999999994</v>
      </c>
      <c r="AB22" s="70" t="str">
        <f>Таблица3[[#This Row],[1 Кол-во шт в уп]]</f>
        <v>20</v>
      </c>
      <c r="AC22" s="70">
        <f>Таблица3[[#This Row],[1 Объем катриджа]]</f>
        <v>1</v>
      </c>
      <c r="AD22" s="102">
        <f>ROUNDDOWN(Таблица3[[#This Row],[3 Цена за уп без НДС и Оптовой над.]]/Таблица3[[#This Row],[3 Кол-во шт в уп]]/Таблица3[[#This Row],[3 Объем катриджа]],2)</f>
        <v>3.98</v>
      </c>
      <c r="AE22" s="100">
        <f>ROUND(MIN(Таблица3[[#This Row],[1 Цена за единицу без НДС]],Таблица3[[#This Row],[2 Цена за единицу без НДС]],Таблица3[[#This Row],[3 Цена за единицу без НДС]]),2)</f>
        <v>3.96</v>
      </c>
      <c r="AF22" s="143">
        <f>VLOOKUP(Таблица3[[#This Row],[№ п/п]],'Спецификация 25'!$1:$1048576,10,0)</f>
        <v>6</v>
      </c>
      <c r="AG22" s="109" t="str">
        <f>Таблица3[[#This Row],[1 Кол-во шт в уп]]</f>
        <v>20</v>
      </c>
      <c r="AH22" s="109">
        <f>Таблица3[[#This Row],[1 Объем катриджа]]</f>
        <v>1</v>
      </c>
      <c r="AI22" s="110">
        <f>Таблица3[[#This Row],[Кол-во Упак]]*Таблица3[[#This Row],[Объем]]*Таблица3[[#This Row],[Кол-во шт в уп]]</f>
        <v>120</v>
      </c>
      <c r="AJ22" s="169">
        <f>STDEV(Таблица3[[#This Row],[1 Цена за единицу без НДС]],Таблица3[[#This Row],[2 Цена за единицу без НДС]],Таблица3[[#This Row],[3 Цена за единицу без НДС]])/Таблица3[[#This Row],[Цена за единицу, руб. ]]</f>
        <v>2.9159104504526581E-3</v>
      </c>
      <c r="AK22" s="163">
        <f>Таблица3[[#This Row],[Цена за единицу, руб. ]]*Таблица3[[#This Row],[Кол-во ЛП (мл/шт)]]</f>
        <v>475.2</v>
      </c>
      <c r="AL22" s="144">
        <f>ROUND((Таблица3[[#This Row],[Цена за единицу, руб. ]]+Таблица3[[#This Row],[Цена за единицу, руб. ]]*10%),2)*Таблица3[[#This Row],[Кол-во ЛП (мл/шт)]]</f>
        <v>523.20000000000005</v>
      </c>
      <c r="AM22" s="168"/>
    </row>
    <row r="23" spans="1:39" s="65" customFormat="1" ht="25.5" x14ac:dyDescent="0.25">
      <c r="A23" s="51">
        <v>16</v>
      </c>
      <c r="B23" s="51">
        <v>14</v>
      </c>
      <c r="C23" s="107"/>
      <c r="D23" s="51" t="s">
        <v>297</v>
      </c>
      <c r="E23" s="51"/>
      <c r="F23" s="51" t="str">
        <f>VLOOKUP(Таблица3[[#This Row],[№ п/п]],'Спецификация 25'!$1:$1048576,2,0)</f>
        <v>Конкор 5 мг № 30</v>
      </c>
      <c r="G23" s="51" t="str">
        <f>VLOOKUP(Таблица3[[#This Row],[№ п/п]],'Спецификация 25'!$1:$1048576,3,0)</f>
        <v>Бисопролол</v>
      </c>
      <c r="H23" s="51" t="str">
        <f>VLOOKUP(Таблица3[[#This Row],[№ п/п]],'Спецификация 25'!$1:$1048576,7,0)</f>
        <v>Таблетки покрытые пленочной оболочкой</v>
      </c>
      <c r="I23" s="51" t="str" cm="1">
        <f t="array" ref="I23">IFERROR(INDEX('Спецификация 25'!$G$2:$G$113,MATCH(Таблица3[[#This Row],[№ п/п]]&amp;Таблица3[[#Headers],[Дозировка]],'Спецификация 25'!$A$2:$A$113&amp;'Спецификация 25'!$F$2:$F$113,0)),"нет")</f>
        <v>5 мг</v>
      </c>
      <c r="J23" s="51" t="str" cm="1">
        <f t="array" ref="J23">IFERROR(INDEX('Спецификация 25'!$G$2:$G$113,MATCH(Таблица3[[#This Row],[№ п/п]]&amp;Таблица3[[#Headers],[Первичная упаковка]],'Спецификация 25'!$A$2:$A$113&amp;'Спецификация 25'!$F$2:$F$113,0)),"нет")</f>
        <v>нет</v>
      </c>
      <c r="K23" s="51" t="str" cm="1">
        <f t="array" ref="K23">IFERROR(INDEX('Спецификация 25'!$G$2:$G$113,MATCH(Таблица3[[#This Row],[№ п/п]]&amp;Таблица3[[#Headers],[Описание упаковки]],'Спецификация 25'!$A$2:$A$113&amp;'Спецификация 25'!$F$2:$F$113,0)),"")</f>
        <v>30 шт</v>
      </c>
      <c r="L23" s="51" t="str">
        <f>VLOOKUP(Таблица3[[#This Row],[№ п/п]],'Спецификация 25'!$1:$1048576,8,0)</f>
        <v>шт</v>
      </c>
      <c r="M23" s="67">
        <v>196.19</v>
      </c>
      <c r="N23" s="68">
        <v>0.1</v>
      </c>
      <c r="O23" s="69">
        <f>Таблица3[[#This Row],[1 Цена за уп с НДС]]-Таблица3[[#This Row],[1 Цена за уп с НДС]]*(1-1/(1+N23))</f>
        <v>178.35454545454544</v>
      </c>
      <c r="P23" s="70" t="str">
        <f>LEFT(Таблица3[[#This Row],[Описание упаковки]],2)</f>
        <v>30</v>
      </c>
      <c r="Q23"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3" s="71">
        <f>ROUNDDOWN(Таблица3[[#This Row],[1 Цена за уп без НДС]]/Таблица3[[#This Row],[1 Кол-во шт в уп]]/Таблица3[[#This Row],[1 Объем катриджа]],2)</f>
        <v>5.94</v>
      </c>
      <c r="S23" s="95">
        <v>196.2</v>
      </c>
      <c r="T23" s="91">
        <v>0.1</v>
      </c>
      <c r="U23" s="92">
        <f>Таблица3[[#This Row],[2 Цена за уп с НДС]]-(Таблица3[[#This Row],[2 Цена за уп с НДС]]*(1-1/(1+T23)))</f>
        <v>178.36363636363635</v>
      </c>
      <c r="V23" s="93" t="str">
        <f>Таблица3[[#This Row],[1 Кол-во шт в уп]]</f>
        <v>30</v>
      </c>
      <c r="W23" s="93">
        <f>Таблица3[[#This Row],[1 Объем катриджа]]</f>
        <v>1</v>
      </c>
      <c r="X23" s="94">
        <f>ROUNDDOWN(Таблица3[[#This Row],[2 Цена за уп без НДС и Оптовой над.]]/Таблица3[[#This Row],[2 Кол-во шт в уп]]/Таблица3[[#This Row],[2 Объем катриджа]],2)</f>
        <v>5.94</v>
      </c>
      <c r="Y23" s="72">
        <v>196.79</v>
      </c>
      <c r="Z23" s="68">
        <v>0.1</v>
      </c>
      <c r="AA23" s="69">
        <f>Таблица3[[#This Row],[3 Цена за уп с НДС]]-(Таблица3[[#This Row],[3 Цена за уп с НДС]]*(1-1/(1+Z23)))</f>
        <v>178.89999999999998</v>
      </c>
      <c r="AB23" s="70" t="str">
        <f>Таблица3[[#This Row],[1 Кол-во шт в уп]]</f>
        <v>30</v>
      </c>
      <c r="AC23" s="70">
        <f>Таблица3[[#This Row],[1 Объем катриджа]]</f>
        <v>1</v>
      </c>
      <c r="AD23" s="102">
        <f>ROUNDDOWN(Таблица3[[#This Row],[3 Цена за уп без НДС и Оптовой над.]]/Таблица3[[#This Row],[3 Кол-во шт в уп]]/Таблица3[[#This Row],[3 Объем катриджа]],2)</f>
        <v>5.96</v>
      </c>
      <c r="AE23" s="100">
        <f>ROUND(MIN(Таблица3[[#This Row],[1 Цена за единицу без НДС]],Таблица3[[#This Row],[2 Цена за единицу без НДС]],Таблица3[[#This Row],[3 Цена за единицу без НДС]]),2)</f>
        <v>5.94</v>
      </c>
      <c r="AF23" s="143">
        <f>VLOOKUP(Таблица3[[#This Row],[№ п/п]],'Спецификация 25'!$1:$1048576,10,0)</f>
        <v>3</v>
      </c>
      <c r="AG23" s="109" t="str">
        <f>Таблица3[[#This Row],[1 Кол-во шт в уп]]</f>
        <v>30</v>
      </c>
      <c r="AH23" s="109">
        <f>Таблица3[[#This Row],[1 Объем катриджа]]</f>
        <v>1</v>
      </c>
      <c r="AI23" s="110">
        <f>Таблица3[[#This Row],[Кол-во Упак]]*Таблица3[[#This Row],[Объем]]*Таблица3[[#This Row],[Кол-во шт в уп]]</f>
        <v>90</v>
      </c>
      <c r="AJ23" s="169">
        <f>STDEV(Таблица3[[#This Row],[1 Цена за единицу без НДС]],Таблица3[[#This Row],[2 Цена за единицу без НДС]],Таблица3[[#This Row],[3 Цена за единицу без НДС]])/Таблица3[[#This Row],[Цена за единицу, руб. ]]</f>
        <v>1.9439403003017287E-3</v>
      </c>
      <c r="AK23" s="163">
        <f>Таблица3[[#This Row],[Цена за единицу, руб. ]]*Таблица3[[#This Row],[Кол-во ЛП (мл/шт)]]</f>
        <v>534.6</v>
      </c>
      <c r="AL23" s="144">
        <f>ROUND((Таблица3[[#This Row],[Цена за единицу, руб. ]]+Таблица3[[#This Row],[Цена за единицу, руб. ]]*10%),2)*Таблица3[[#This Row],[Кол-во ЛП (мл/шт)]]</f>
        <v>587.70000000000005</v>
      </c>
      <c r="AM23" s="168"/>
    </row>
    <row r="24" spans="1:39" s="65" customFormat="1" ht="25.5" x14ac:dyDescent="0.25">
      <c r="A24" s="51">
        <v>17</v>
      </c>
      <c r="B24" s="51">
        <v>15</v>
      </c>
      <c r="C24" s="107"/>
      <c r="D24" s="51" t="s">
        <v>297</v>
      </c>
      <c r="E24" s="51"/>
      <c r="F24" s="51" t="str">
        <f>VLOOKUP(Таблица3[[#This Row],[№ п/п]],'Спецификация 25'!$1:$1048576,2,0)</f>
        <v>Физиотенз 0,2 мг № 28</v>
      </c>
      <c r="G24" s="51" t="str">
        <f>VLOOKUP(Таблица3[[#This Row],[№ п/п]],'Спецификация 25'!$1:$1048576,3,0)</f>
        <v>Моксонидин</v>
      </c>
      <c r="H24" s="51" t="str">
        <f>VLOOKUP(Таблица3[[#This Row],[№ п/п]],'Спецификация 25'!$1:$1048576,7,0)</f>
        <v>Таблетки покрытые пленочной оболочкой</v>
      </c>
      <c r="I24" s="51" t="str" cm="1">
        <f t="array" ref="I24">IFERROR(INDEX('Спецификация 25'!$G$2:$G$113,MATCH(Таблица3[[#This Row],[№ п/п]]&amp;Таблица3[[#Headers],[Дозировка]],'Спецификация 25'!$A$2:$A$113&amp;'Спецификация 25'!$F$2:$F$113,0)),"нет")</f>
        <v>0,2 мг</v>
      </c>
      <c r="J24" s="51" t="str" cm="1">
        <f t="array" ref="J24">IFERROR(INDEX('Спецификация 25'!$G$2:$G$113,MATCH(Таблица3[[#This Row],[№ п/п]]&amp;Таблица3[[#Headers],[Первичная упаковка]],'Спецификация 25'!$A$2:$A$113&amp;'Спецификация 25'!$F$2:$F$113,0)),"нет")</f>
        <v>нет</v>
      </c>
      <c r="K24" s="51" t="str" cm="1">
        <f t="array" ref="K24">IFERROR(INDEX('Спецификация 25'!$G$2:$G$113,MATCH(Таблица3[[#This Row],[№ п/п]]&amp;Таблица3[[#Headers],[Описание упаковки]],'Спецификация 25'!$A$2:$A$113&amp;'Спецификация 25'!$F$2:$F$113,0)),"")</f>
        <v>28 шт</v>
      </c>
      <c r="L24" s="51" t="str">
        <f>VLOOKUP(Таблица3[[#This Row],[№ п/п]],'Спецификация 25'!$1:$1048576,8,0)</f>
        <v>шт</v>
      </c>
      <c r="M24" s="67">
        <v>678.81</v>
      </c>
      <c r="N24" s="68">
        <v>0.1</v>
      </c>
      <c r="O24" s="69">
        <f>Таблица3[[#This Row],[1 Цена за уп с НДС]]-Таблица3[[#This Row],[1 Цена за уп с НДС]]*(1-1/(1+N24))</f>
        <v>617.09999999999991</v>
      </c>
      <c r="P24" s="70" t="str">
        <f>LEFT(Таблица3[[#This Row],[Описание упаковки]],2)</f>
        <v>28</v>
      </c>
      <c r="Q24"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4" s="71">
        <f>ROUNDDOWN(Таблица3[[#This Row],[1 Цена за уп без НДС]]/Таблица3[[#This Row],[1 Кол-во шт в уп]]/Таблица3[[#This Row],[1 Объем катриджа]],2)</f>
        <v>22.03</v>
      </c>
      <c r="S24" s="95">
        <v>678.82</v>
      </c>
      <c r="T24" s="91">
        <v>0.1</v>
      </c>
      <c r="U24" s="92">
        <f>Таблица3[[#This Row],[2 Цена за уп с НДС]]-(Таблица3[[#This Row],[2 Цена за уп с НДС]]*(1-1/(1+T24)))</f>
        <v>617.10909090909092</v>
      </c>
      <c r="V24" s="93" t="str">
        <f>Таблица3[[#This Row],[1 Кол-во шт в уп]]</f>
        <v>28</v>
      </c>
      <c r="W24" s="93">
        <f>Таблица3[[#This Row],[1 Объем катриджа]]</f>
        <v>1</v>
      </c>
      <c r="X24" s="94">
        <f>ROUNDDOWN(Таблица3[[#This Row],[2 Цена за уп без НДС и Оптовой над.]]/Таблица3[[#This Row],[2 Кол-во шт в уп]]/Таблица3[[#This Row],[2 Объем катриджа]],2)</f>
        <v>22.03</v>
      </c>
      <c r="Y24" s="72">
        <v>680.86</v>
      </c>
      <c r="Z24" s="68">
        <v>0.1</v>
      </c>
      <c r="AA24" s="69">
        <f>Таблица3[[#This Row],[3 Цена за уп с НДС]]-(Таблица3[[#This Row],[3 Цена за уп с НДС]]*(1-1/(1+Z24)))</f>
        <v>618.9636363636364</v>
      </c>
      <c r="AB24" s="70" t="str">
        <f>Таблица3[[#This Row],[1 Кол-во шт в уп]]</f>
        <v>28</v>
      </c>
      <c r="AC24" s="70">
        <f>Таблица3[[#This Row],[1 Объем катриджа]]</f>
        <v>1</v>
      </c>
      <c r="AD24" s="102">
        <f>ROUNDDOWN(Таблица3[[#This Row],[3 Цена за уп без НДС и Оптовой над.]]/Таблица3[[#This Row],[3 Кол-во шт в уп]]/Таблица3[[#This Row],[3 Объем катриджа]],2)</f>
        <v>22.1</v>
      </c>
      <c r="AE24" s="100">
        <f>ROUND(MIN(Таблица3[[#This Row],[1 Цена за единицу без НДС]],Таблица3[[#This Row],[2 Цена за единицу без НДС]],Таблица3[[#This Row],[3 Цена за единицу без НДС]]),2)</f>
        <v>22.03</v>
      </c>
      <c r="AF24" s="143">
        <f>VLOOKUP(Таблица3[[#This Row],[№ п/п]],'Спецификация 25'!$1:$1048576,10,0)</f>
        <v>10</v>
      </c>
      <c r="AG24" s="109" t="str">
        <f>Таблица3[[#This Row],[1 Кол-во шт в уп]]</f>
        <v>28</v>
      </c>
      <c r="AH24" s="109">
        <f>Таблица3[[#This Row],[1 Объем катриджа]]</f>
        <v>1</v>
      </c>
      <c r="AI24" s="110">
        <f>Таблица3[[#This Row],[Кол-во Упак]]*Таблица3[[#This Row],[Объем]]*Таблица3[[#This Row],[Кол-во шт в уп]]</f>
        <v>280</v>
      </c>
      <c r="AJ24" s="169">
        <f>STDEV(Таблица3[[#This Row],[1 Цена за единицу без НДС]],Таблица3[[#This Row],[2 Цена за единицу без НДС]],Таблица3[[#This Row],[3 Цена за единицу без НДС]])/Таблица3[[#This Row],[Цена за единицу, руб. ]]</f>
        <v>1.834521962926644E-3</v>
      </c>
      <c r="AK24" s="163">
        <f>Таблица3[[#This Row],[Цена за единицу, руб. ]]*Таблица3[[#This Row],[Кол-во ЛП (мл/шт)]]</f>
        <v>6168.4000000000005</v>
      </c>
      <c r="AL24" s="144">
        <f>ROUND((Таблица3[[#This Row],[Цена за единицу, руб. ]]+Таблица3[[#This Row],[Цена за единицу, руб. ]]*10%),2)*Таблица3[[#This Row],[Кол-во ЛП (мл/шт)]]</f>
        <v>6784.4000000000005</v>
      </c>
      <c r="AM24" s="168"/>
    </row>
    <row r="25" spans="1:39" s="65" customFormat="1" ht="25.5" x14ac:dyDescent="0.25">
      <c r="A25" s="51">
        <v>18</v>
      </c>
      <c r="B25" s="51">
        <v>16</v>
      </c>
      <c r="C25" s="107"/>
      <c r="D25" s="51" t="s">
        <v>180</v>
      </c>
      <c r="E25" s="51"/>
      <c r="F25" s="51" t="str">
        <f>VLOOKUP(Таблица3[[#This Row],[№ п/п]],'Спецификация 25'!$1:$1048576,2,0)</f>
        <v>Кордиамин 25% 1 мл № 10</v>
      </c>
      <c r="G25" s="51" t="str">
        <f>VLOOKUP(Таблица3[[#This Row],[№ п/п]],'Спецификация 25'!$1:$1048576,3,0)</f>
        <v>Никетамид</v>
      </c>
      <c r="H25" s="51" t="str">
        <f>VLOOKUP(Таблица3[[#This Row],[№ п/п]],'Спецификация 25'!$1:$1048576,7,0)</f>
        <v>Раствор для инъекций</v>
      </c>
      <c r="I25" s="51" t="str" cm="1">
        <f t="array" ref="I25">IFERROR(INDEX('Спецификация 25'!$G$2:$G$113,MATCH(Таблица3[[#This Row],[№ п/п]]&amp;Таблица3[[#Headers],[Дозировка]],'Спецификация 25'!$A$2:$A$113&amp;'Спецификация 25'!$F$2:$F$113,0)),"нет")</f>
        <v>250 мг/мл</v>
      </c>
      <c r="J25" s="51" t="str" cm="1">
        <f t="array" ref="J25">IFERROR(INDEX('Спецификация 25'!$G$2:$G$113,MATCH(Таблица3[[#This Row],[№ п/п]]&amp;Таблица3[[#Headers],[Первичная упаковка]],'Спецификация 25'!$A$2:$A$113&amp;'Спецификация 25'!$F$2:$F$113,0)),"нет")</f>
        <v>Ампула</v>
      </c>
      <c r="K25" s="51" t="str" cm="1">
        <f t="array" ref="K25">IFERROR(INDEX('Спецификация 25'!$G$2:$G$113,MATCH(Таблица3[[#This Row],[№ п/п]]&amp;Таблица3[[#Headers],[Описание упаковки]],'Спецификация 25'!$A$2:$A$113&amp;'Спецификация 25'!$F$2:$F$113,0)),"")</f>
        <v>10 амп. по 1 мл</v>
      </c>
      <c r="L25" s="51" t="str">
        <f>VLOOKUP(Таблица3[[#This Row],[№ п/п]],'Спецификация 25'!$1:$1048576,8,0)</f>
        <v>мл</v>
      </c>
      <c r="M25" s="67">
        <v>208</v>
      </c>
      <c r="N25" s="68">
        <v>0.1</v>
      </c>
      <c r="O25" s="69">
        <f>Таблица3[[#This Row],[1 Цена за уп с НДС]]-Таблица3[[#This Row],[1 Цена за уп с НДС]]*(1-1/(1+N25))</f>
        <v>189.09090909090909</v>
      </c>
      <c r="P25" s="70" t="str">
        <f>LEFT(Таблица3[[#This Row],[Описание упаковки]],2)</f>
        <v>10</v>
      </c>
      <c r="Q25"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5" s="71">
        <f>ROUNDDOWN(Таблица3[[#This Row],[1 Цена за уп без НДС]]/Таблица3[[#This Row],[1 Кол-во шт в уп]]/Таблица3[[#This Row],[1 Объем катриджа]],2)</f>
        <v>18.899999999999999</v>
      </c>
      <c r="S25" s="95">
        <v>209</v>
      </c>
      <c r="T25" s="91">
        <v>0.1</v>
      </c>
      <c r="U25" s="92">
        <f>Таблица3[[#This Row],[2 Цена за уп с НДС]]-(Таблица3[[#This Row],[2 Цена за уп с НДС]]*(1-1/(1+T25)))</f>
        <v>190</v>
      </c>
      <c r="V25" s="93" t="str">
        <f>Таблица3[[#This Row],[1 Кол-во шт в уп]]</f>
        <v>10</v>
      </c>
      <c r="W25" s="93" t="str">
        <f>Таблица3[[#This Row],[1 Объем катриджа]]</f>
        <v>1</v>
      </c>
      <c r="X25" s="94">
        <f>ROUNDDOWN(Таблица3[[#This Row],[2 Цена за уп без НДС и Оптовой над.]]/Таблица3[[#This Row],[2 Кол-во шт в уп]]/Таблица3[[#This Row],[2 Объем катриджа]],2)</f>
        <v>19</v>
      </c>
      <c r="Y25" s="72">
        <v>209.63</v>
      </c>
      <c r="Z25" s="68">
        <v>0.1</v>
      </c>
      <c r="AA25" s="69">
        <f>Таблица3[[#This Row],[3 Цена за уп с НДС]]-(Таблица3[[#This Row],[3 Цена за уп с НДС]]*(1-1/(1+Z25)))</f>
        <v>190.57272727272726</v>
      </c>
      <c r="AB25" s="70" t="str">
        <f>Таблица3[[#This Row],[1 Кол-во шт в уп]]</f>
        <v>10</v>
      </c>
      <c r="AC25" s="70" t="str">
        <f>Таблица3[[#This Row],[1 Объем катриджа]]</f>
        <v>1</v>
      </c>
      <c r="AD25" s="102">
        <f>ROUNDDOWN(Таблица3[[#This Row],[3 Цена за уп без НДС и Оптовой над.]]/Таблица3[[#This Row],[3 Кол-во шт в уп]]/Таблица3[[#This Row],[3 Объем катриджа]],2)</f>
        <v>19.05</v>
      </c>
      <c r="AE25" s="100">
        <f>ROUND(MIN(Таблица3[[#This Row],[1 Цена за единицу без НДС]],Таблица3[[#This Row],[2 Цена за единицу без НДС]],Таблица3[[#This Row],[3 Цена за единицу без НДС]]),2)</f>
        <v>18.899999999999999</v>
      </c>
      <c r="AF25" s="143">
        <f>VLOOKUP(Таблица3[[#This Row],[№ п/п]],'Спецификация 25'!$1:$1048576,10,0)</f>
        <v>8</v>
      </c>
      <c r="AG25" s="109" t="str">
        <f>Таблица3[[#This Row],[1 Кол-во шт в уп]]</f>
        <v>10</v>
      </c>
      <c r="AH25" s="109" t="str">
        <f>Таблица3[[#This Row],[1 Объем катриджа]]</f>
        <v>1</v>
      </c>
      <c r="AI25" s="110">
        <f>Таблица3[[#This Row],[Кол-во Упак]]*Таблица3[[#This Row],[Объем]]*Таблица3[[#This Row],[Кол-во шт в уп]]</f>
        <v>80</v>
      </c>
      <c r="AJ25" s="169">
        <f>STDEV(Таблица3[[#This Row],[1 Цена за единицу без НДС]],Таблица3[[#This Row],[2 Цена за единицу без НДС]],Таблица3[[#This Row],[3 Цена за единицу без НДС]])/Таблица3[[#This Row],[Цена за единицу, руб. ]]</f>
        <v>4.0410720414073235E-3</v>
      </c>
      <c r="AK25" s="163">
        <f>Таблица3[[#This Row],[Цена за единицу, руб. ]]*Таблица3[[#This Row],[Кол-во ЛП (мл/шт)]]</f>
        <v>1512</v>
      </c>
      <c r="AL25" s="144">
        <f>ROUND((Таблица3[[#This Row],[Цена за единицу, руб. ]]+Таблица3[[#This Row],[Цена за единицу, руб. ]]*10%),2)*Таблица3[[#This Row],[Кол-во ЛП (мл/шт)]]</f>
        <v>1663.1999999999998</v>
      </c>
      <c r="AM25" s="168"/>
    </row>
    <row r="26" spans="1:39" s="65" customFormat="1" ht="25.5" hidden="1" x14ac:dyDescent="0.25">
      <c r="A26" s="51">
        <v>19</v>
      </c>
      <c r="B26" s="51"/>
      <c r="C26" s="51"/>
      <c r="D26" s="51" t="s">
        <v>180</v>
      </c>
      <c r="E26" s="51"/>
      <c r="F26" s="51" t="str">
        <f>VLOOKUP(Таблица3[[#This Row],[№ п/п]],'Спецификация 25'!$1:$1048576,2,0)</f>
        <v>Кофеин-бензоат натрия 20 % 1,0 №10</v>
      </c>
      <c r="G26" s="51" t="str">
        <f>VLOOKUP(Таблица3[[#This Row],[№ п/п]],'Спецификация 25'!$1:$1048576,3,0)</f>
        <v>Кофеин</v>
      </c>
      <c r="H26" s="51" t="str">
        <f>VLOOKUP(Таблица3[[#This Row],[№ п/п]],'Спецификация 25'!$1:$1048576,7,0)</f>
        <v>Раствор для подкожного введения</v>
      </c>
      <c r="I26" s="51" t="str" cm="1">
        <f t="array" ref="I26">IFERROR(INDEX('Спецификация 25'!$G$2:$G$113,MATCH(Таблица3[[#This Row],[№ п/п]]&amp;Таблица3[[#Headers],[Дозировка]],'Спецификация 25'!$A$2:$A$113&amp;'Спецификация 25'!$F$2:$F$113,0)),"нет")</f>
        <v>200 мг/мл</v>
      </c>
      <c r="J26" s="51" t="str" cm="1">
        <f t="array" ref="J26">IFERROR(INDEX('Спецификация 25'!$G$2:$G$113,MATCH(Таблица3[[#This Row],[№ п/п]]&amp;Таблица3[[#Headers],[Первичная упаковка]],'Спецификация 25'!$A$2:$A$113&amp;'Спецификация 25'!$F$2:$F$113,0)),"нет")</f>
        <v>Ампула</v>
      </c>
      <c r="K26" s="51" t="str" cm="1">
        <f t="array" ref="K26">IFERROR(INDEX('Спецификация 25'!$G$2:$G$113,MATCH(Таблица3[[#This Row],[№ п/п]]&amp;Таблица3[[#Headers],[Описание упаковки]],'Спецификация 25'!$A$2:$A$113&amp;'Спецификация 25'!$F$2:$F$113,0)),"")</f>
        <v>10 амп. по 1 мл</v>
      </c>
      <c r="L26" s="51" t="str">
        <f>VLOOKUP(Таблица3[[#This Row],[№ п/п]],'Спецификация 25'!$1:$1048576,8,0)</f>
        <v>мл</v>
      </c>
      <c r="M26" s="72"/>
      <c r="N26" s="68">
        <v>0.1</v>
      </c>
      <c r="O26" s="69">
        <f>Таблица3[[#This Row],[1 Цена за уп с НДС]]-Таблица3[[#This Row],[1 Цена за уп с НДС]]*(1-1/(1+N26))</f>
        <v>0</v>
      </c>
      <c r="P26" s="70" t="str">
        <f>LEFT(Таблица3[[#This Row],[Описание упаковки]],2)</f>
        <v>10</v>
      </c>
      <c r="Q26"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6" s="71">
        <f>ROUNDDOWN(Таблица3[[#This Row],[1 Цена за уп без НДС]]/Таблица3[[#This Row],[1 Кол-во шт в уп]]/Таблица3[[#This Row],[1 Объем катриджа]],2)</f>
        <v>0</v>
      </c>
      <c r="S26" s="95"/>
      <c r="T26" s="91">
        <v>0.1</v>
      </c>
      <c r="U26" s="92">
        <f>Таблица3[[#This Row],[2 Цена за уп с НДС]]-(Таблица3[[#This Row],[2 Цена за уп с НДС]]*(1-1/(1+T26)))</f>
        <v>0</v>
      </c>
      <c r="V26" s="93" t="str">
        <f>Таблица3[[#This Row],[1 Кол-во шт в уп]]</f>
        <v>10</v>
      </c>
      <c r="W26" s="93" t="str">
        <f>Таблица3[[#This Row],[1 Объем катриджа]]</f>
        <v>1</v>
      </c>
      <c r="X26" s="94">
        <f>ROUNDDOWN(Таблица3[[#This Row],[2 Цена за уп без НДС и Оптовой над.]]/Таблица3[[#This Row],[2 Кол-во шт в уп]]/Таблица3[[#This Row],[2 Объем катриджа]],2)</f>
        <v>0</v>
      </c>
      <c r="Y26" s="72"/>
      <c r="Z26" s="68">
        <v>0.1</v>
      </c>
      <c r="AA26" s="69">
        <f>Таблица3[[#This Row],[3 Цена за уп с НДС]]-(Таблица3[[#This Row],[3 Цена за уп с НДС]]*(1-1/(1+Z26)))</f>
        <v>0</v>
      </c>
      <c r="AB26" s="70" t="str">
        <f>Таблица3[[#This Row],[1 Кол-во шт в уп]]</f>
        <v>10</v>
      </c>
      <c r="AC26" s="70" t="str">
        <f>Таблица3[[#This Row],[1 Объем катриджа]]</f>
        <v>1</v>
      </c>
      <c r="AD26" s="71">
        <f>ROUNDDOWN(Таблица3[[#This Row],[3 Цена за уп без НДС и Оптовой над.]]/Таблица3[[#This Row],[3 Кол-во шт в уп]]/Таблица3[[#This Row],[3 Объем катриджа]],2)</f>
        <v>0</v>
      </c>
      <c r="AE26" s="100">
        <f>ROUND(MIN(Таблица3[[#This Row],[1 Цена за единицу без НДС]],Таблица3[[#This Row],[2 Цена за единицу без НДС]],Таблица3[[#This Row],[3 Цена за единицу без НДС]]),2)</f>
        <v>0</v>
      </c>
      <c r="AF26" s="143">
        <f>VLOOKUP(Таблица3[[#This Row],[№ п/п]],'Спецификация 25'!$1:$1048576,10,0)</f>
        <v>0</v>
      </c>
      <c r="AG26" s="109" t="str">
        <f>Таблица3[[#This Row],[1 Кол-во шт в уп]]</f>
        <v>10</v>
      </c>
      <c r="AH26" s="109" t="str">
        <f>Таблица3[[#This Row],[1 Объем катриджа]]</f>
        <v>1</v>
      </c>
      <c r="AI26" s="110">
        <f>Таблица3[[#This Row],[Кол-во Упак]]*Таблица3[[#This Row],[Объем]]*Таблица3[[#This Row],[Кол-во шт в уп]]</f>
        <v>0</v>
      </c>
      <c r="AJ26" s="169" t="e">
        <f>STDEV(Таблица3[[#This Row],[1 Цена за единицу без НДС]],Таблица3[[#This Row],[2 Цена за единицу без НДС]],Таблица3[[#This Row],[3 Цена за единицу без НДС]])/Таблица3[[#This Row],[Цена за единицу, руб. ]]</f>
        <v>#DIV/0!</v>
      </c>
      <c r="AK26" s="163">
        <f>Таблица3[[#This Row],[Цена за единицу, руб. ]]*Таблица3[[#This Row],[Кол-во ЛП (мл/шт)]]</f>
        <v>0</v>
      </c>
      <c r="AL26" s="144">
        <f>ROUND((Таблица3[[#This Row],[Цена за единицу, руб. ]]+Таблица3[[#This Row],[Цена за единицу, руб. ]]*10%),2)*Таблица3[[#This Row],[Кол-во ЛП (мл/шт)]]</f>
        <v>0</v>
      </c>
      <c r="AM26" s="168"/>
    </row>
    <row r="27" spans="1:39" s="65" customFormat="1" ht="25.5" x14ac:dyDescent="0.25">
      <c r="A27" s="51">
        <v>20</v>
      </c>
      <c r="B27" s="51">
        <v>17</v>
      </c>
      <c r="C27" s="107"/>
      <c r="D27" s="51" t="s">
        <v>297</v>
      </c>
      <c r="E27" s="51"/>
      <c r="F27" s="51" t="str">
        <f>VLOOKUP(Таблица3[[#This Row],[№ п/п]],'Спецификация 25'!$1:$1048576,2,0)</f>
        <v>Нитроглицерин 0,5 мг №40</v>
      </c>
      <c r="G27" s="51" t="str">
        <f>VLOOKUP(Таблица3[[#This Row],[№ п/п]],'Спецификация 25'!$1:$1048576,3,0)</f>
        <v xml:space="preserve">Нитроглицерин </v>
      </c>
      <c r="H27" s="51" t="str">
        <f>VLOOKUP(Таблица3[[#This Row],[№ п/п]],'Спецификация 25'!$1:$1048576,7,0)</f>
        <v>Таблетки подъязычные</v>
      </c>
      <c r="I27" s="51" t="str" cm="1">
        <f t="array" ref="I27">IFERROR(INDEX('Спецификация 25'!$G$2:$G$113,MATCH(Таблица3[[#This Row],[№ п/п]]&amp;Таблица3[[#Headers],[Дозировка]],'Спецификация 25'!$A$2:$A$113&amp;'Спецификация 25'!$F$2:$F$113,0)),"нет")</f>
        <v>0.5 мг</v>
      </c>
      <c r="J27" s="51" t="str" cm="1">
        <f t="array" ref="J27">IFERROR(INDEX('Спецификация 25'!$G$2:$G$113,MATCH(Таблица3[[#This Row],[№ п/п]]&amp;Таблица3[[#Headers],[Первичная упаковка]],'Спецификация 25'!$A$2:$A$113&amp;'Спецификация 25'!$F$2:$F$113,0)),"нет")</f>
        <v>нет</v>
      </c>
      <c r="K27" s="51" t="str" cm="1">
        <f t="array" ref="K27">IFERROR(INDEX('Спецификация 25'!$G$2:$G$113,MATCH(Таблица3[[#This Row],[№ п/п]]&amp;Таблица3[[#Headers],[Описание упаковки]],'Спецификация 25'!$A$2:$A$113&amp;'Спецификация 25'!$F$2:$F$113,0)),"")</f>
        <v>40 шт</v>
      </c>
      <c r="L27" s="51" t="str">
        <f>VLOOKUP(Таблица3[[#This Row],[№ п/п]],'Спецификация 25'!$1:$1048576,8,0)</f>
        <v>шт</v>
      </c>
      <c r="M27" s="67">
        <v>60.08</v>
      </c>
      <c r="N27" s="68">
        <v>0.1</v>
      </c>
      <c r="O27" s="69">
        <f>Таблица3[[#This Row],[1 Цена за уп с НДС]]-Таблица3[[#This Row],[1 Цена за уп с НДС]]*(1-1/(1+N27))</f>
        <v>54.618181818181817</v>
      </c>
      <c r="P27" s="70" t="str">
        <f>LEFT(Таблица3[[#This Row],[Описание упаковки]],2)</f>
        <v>40</v>
      </c>
      <c r="Q27"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27" s="71">
        <f>ROUNDDOWN(Таблица3[[#This Row],[1 Цена за уп без НДС]]/Таблица3[[#This Row],[1 Кол-во шт в уп]]/Таблица3[[#This Row],[1 Объем катриджа]],2)</f>
        <v>1.36</v>
      </c>
      <c r="S27" s="95">
        <v>60.09</v>
      </c>
      <c r="T27" s="91">
        <v>0.1</v>
      </c>
      <c r="U27" s="92">
        <f>Таблица3[[#This Row],[2 Цена за уп с НДС]]-(Таблица3[[#This Row],[2 Цена за уп с НДС]]*(1-1/(1+T27)))</f>
        <v>54.627272727272725</v>
      </c>
      <c r="V27" s="93" t="str">
        <f>Таблица3[[#This Row],[1 Кол-во шт в уп]]</f>
        <v>40</v>
      </c>
      <c r="W27" s="93">
        <f>Таблица3[[#This Row],[1 Объем катриджа]]</f>
        <v>1</v>
      </c>
      <c r="X27" s="94">
        <f>ROUNDDOWN(Таблица3[[#This Row],[2 Цена за уп без НДС и Оптовой над.]]/Таблица3[[#This Row],[2 Кол-во шт в уп]]/Таблица3[[#This Row],[2 Объем катриджа]],2)</f>
        <v>1.36</v>
      </c>
      <c r="Y27" s="72">
        <v>60.27</v>
      </c>
      <c r="Z27" s="68">
        <v>0.1</v>
      </c>
      <c r="AA27" s="69">
        <f>Таблица3[[#This Row],[3 Цена за уп с НДС]]-(Таблица3[[#This Row],[3 Цена за уп с НДС]]*(1-1/(1+Z27)))</f>
        <v>54.790909090909089</v>
      </c>
      <c r="AB27" s="70" t="str">
        <f>Таблица3[[#This Row],[1 Кол-во шт в уп]]</f>
        <v>40</v>
      </c>
      <c r="AC27" s="70">
        <f>Таблица3[[#This Row],[1 Объем катриджа]]</f>
        <v>1</v>
      </c>
      <c r="AD27" s="102">
        <f>ROUNDDOWN(Таблица3[[#This Row],[3 Цена за уп без НДС и Оптовой над.]]/Таблица3[[#This Row],[3 Кол-во шт в уп]]/Таблица3[[#This Row],[3 Объем катриджа]],2)</f>
        <v>1.36</v>
      </c>
      <c r="AE27" s="100">
        <f>ROUND(MIN(Таблица3[[#This Row],[1 Цена за единицу без НДС]],Таблица3[[#This Row],[2 Цена за единицу без НДС]],Таблица3[[#This Row],[3 Цена за единицу без НДС]]),2)</f>
        <v>1.36</v>
      </c>
      <c r="AF27" s="143">
        <f>VLOOKUP(Таблица3[[#This Row],[№ п/п]],'Спецификация 25'!$1:$1048576,10,0)</f>
        <v>10</v>
      </c>
      <c r="AG27" s="109" t="str">
        <f>Таблица3[[#This Row],[1 Кол-во шт в уп]]</f>
        <v>40</v>
      </c>
      <c r="AH27" s="109">
        <f>Таблица3[[#This Row],[1 Объем катриджа]]</f>
        <v>1</v>
      </c>
      <c r="AI27" s="110">
        <f>Таблица3[[#This Row],[Кол-во Упак]]*Таблица3[[#This Row],[Объем]]*Таблица3[[#This Row],[Кол-во шт в уп]]</f>
        <v>400</v>
      </c>
      <c r="AJ27" s="169">
        <f>STDEV(Таблица3[[#This Row],[1 Цена за единицу без НДС]],Таблица3[[#This Row],[2 Цена за единицу без НДС]],Таблица3[[#This Row],[3 Цена за единицу без НДС]])/Таблица3[[#This Row],[Цена за единицу, руб. ]]</f>
        <v>0</v>
      </c>
      <c r="AK27" s="163">
        <f>Таблица3[[#This Row],[Цена за единицу, руб. ]]*Таблица3[[#This Row],[Кол-во ЛП (мл/шт)]]</f>
        <v>544</v>
      </c>
      <c r="AL27" s="144">
        <f>ROUND((Таблица3[[#This Row],[Цена за единицу, руб. ]]+Таблица3[[#This Row],[Цена за единицу, руб. ]]*10%),2)*Таблица3[[#This Row],[Кол-во ЛП (мл/шт)]]</f>
        <v>600</v>
      </c>
      <c r="AM27" s="168"/>
    </row>
    <row r="28" spans="1:39" s="65" customFormat="1" ht="38.25" hidden="1" x14ac:dyDescent="0.25">
      <c r="A28" s="51">
        <v>21</v>
      </c>
      <c r="B28" s="51"/>
      <c r="C28" s="107"/>
      <c r="D28" s="51" t="s">
        <v>180</v>
      </c>
      <c r="E28" s="51"/>
      <c r="F28" s="51" t="str">
        <f>VLOOKUP(Таблица3[[#This Row],[№ п/п]],'Спецификация 25'!$1:$1048576,2,0)</f>
        <v>Окомистин 0,01%  10 мл</v>
      </c>
      <c r="G28" s="51" t="str">
        <f>VLOOKUP(Таблица3[[#This Row],[№ п/п]],'Спецификация 25'!$1:$1048576,3,0)</f>
        <v>Бензилдиметил-миристоиламино-пропиламмоний</v>
      </c>
      <c r="H28" s="51" t="str">
        <f>VLOOKUP(Таблица3[[#This Row],[№ п/п]],'Спецификация 25'!$1:$1048576,7,0)</f>
        <v>Капли глазные ушные и назальные.</v>
      </c>
      <c r="I28" s="51" t="str" cm="1">
        <f t="array" ref="I28">IFERROR(INDEX('Спецификация 25'!$G$2:$G$113,MATCH(Таблица3[[#This Row],[№ п/п]]&amp;Таблица3[[#Headers],[Дозировка]],'Спецификация 25'!$A$2:$A$113&amp;'Спецификация 25'!$F$2:$F$113,0)),"нет")</f>
        <v>0.1 мг/мл</v>
      </c>
      <c r="J28" s="51" t="str" cm="1">
        <f t="array" ref="J28">IFERROR(INDEX('Спецификация 25'!$G$2:$G$113,MATCH(Таблица3[[#This Row],[№ п/п]]&amp;Таблица3[[#Headers],[Первичная упаковка]],'Спецификация 25'!$A$2:$A$113&amp;'Спецификация 25'!$F$2:$F$113,0)),"нет")</f>
        <v>Флакон-капельница</v>
      </c>
      <c r="K28" s="51" t="str" cm="1">
        <f t="array" ref="K28">IFERROR(INDEX('Спецификация 25'!$G$2:$G$113,MATCH(Таблица3[[#This Row],[№ п/п]]&amp;Таблица3[[#Headers],[Описание упаковки]],'Спецификация 25'!$A$2:$A$113&amp;'Спецификация 25'!$F$2:$F$113,0)),"")</f>
        <v>10 мл</v>
      </c>
      <c r="L28" s="51" t="str">
        <f>VLOOKUP(Таблица3[[#This Row],[№ п/п]],'Спецификация 25'!$1:$1048576,8,0)</f>
        <v>мл</v>
      </c>
      <c r="M28" s="67"/>
      <c r="N28" s="68">
        <v>0.1</v>
      </c>
      <c r="O28" s="69">
        <f>Таблица3[[#This Row],[1 Цена за уп с НДС]]-Таблица3[[#This Row],[1 Цена за уп с НДС]]*(1-1/(1+N28))</f>
        <v>0</v>
      </c>
      <c r="P28" s="70" t="str">
        <f>LEFT(Таблица3[[#This Row],[Описание упаковки]],2)</f>
        <v>10</v>
      </c>
      <c r="Q28" s="70">
        <v>1</v>
      </c>
      <c r="R28" s="71">
        <f>ROUNDDOWN(Таблица3[[#This Row],[1 Цена за уп без НДС]]/Таблица3[[#This Row],[1 Кол-во шт в уп]]/Таблица3[[#This Row],[1 Объем катриджа]],2)</f>
        <v>0</v>
      </c>
      <c r="S28" s="95"/>
      <c r="T28" s="91">
        <v>0.1</v>
      </c>
      <c r="U28" s="92">
        <f>Таблица3[[#This Row],[2 Цена за уп с НДС]]-(Таблица3[[#This Row],[2 Цена за уп с НДС]]*(1-1/(1+T28)))</f>
        <v>0</v>
      </c>
      <c r="V28" s="93" t="str">
        <f>Таблица3[[#This Row],[1 Кол-во шт в уп]]</f>
        <v>10</v>
      </c>
      <c r="W28" s="93">
        <f>Таблица3[[#This Row],[1 Объем катриджа]]</f>
        <v>1</v>
      </c>
      <c r="X28" s="94">
        <f>ROUNDDOWN(Таблица3[[#This Row],[2 Цена за уп без НДС и Оптовой над.]]/Таблица3[[#This Row],[2 Кол-во шт в уп]]/Таблица3[[#This Row],[2 Объем катриджа]],2)</f>
        <v>0</v>
      </c>
      <c r="Y28" s="72"/>
      <c r="Z28" s="68">
        <v>0.1</v>
      </c>
      <c r="AA28" s="69">
        <f>Таблица3[[#This Row],[3 Цена за уп с НДС]]-(Таблица3[[#This Row],[3 Цена за уп с НДС]]*(1-1/(1+Z28)))</f>
        <v>0</v>
      </c>
      <c r="AB28" s="70" t="str">
        <f>Таблица3[[#This Row],[1 Кол-во шт в уп]]</f>
        <v>10</v>
      </c>
      <c r="AC28" s="70">
        <f>Таблица3[[#This Row],[1 Объем катриджа]]</f>
        <v>1</v>
      </c>
      <c r="AD28" s="102">
        <f>ROUNDDOWN(Таблица3[[#This Row],[3 Цена за уп без НДС и Оптовой над.]]/Таблица3[[#This Row],[3 Кол-во шт в уп]]/Таблица3[[#This Row],[3 Объем катриджа]],2)</f>
        <v>0</v>
      </c>
      <c r="AE28" s="100">
        <f>ROUND(MIN(Таблица3[[#This Row],[1 Цена за единицу без НДС]],Таблица3[[#This Row],[2 Цена за единицу без НДС]],Таблица3[[#This Row],[3 Цена за единицу без НДС]]),2)</f>
        <v>0</v>
      </c>
      <c r="AF28" s="143">
        <f>VLOOKUP(Таблица3[[#This Row],[№ п/п]],'Спецификация 25'!$1:$1048576,10,0)</f>
        <v>0</v>
      </c>
      <c r="AG28" s="109" t="str">
        <f>Таблица3[[#This Row],[1 Кол-во шт в уп]]</f>
        <v>10</v>
      </c>
      <c r="AH28" s="109">
        <f>Таблица3[[#This Row],[1 Объем катриджа]]</f>
        <v>1</v>
      </c>
      <c r="AI28" s="110">
        <f>Таблица3[[#This Row],[Кол-во Упак]]*Таблица3[[#This Row],[Объем]]*Таблица3[[#This Row],[Кол-во шт в уп]]</f>
        <v>0</v>
      </c>
      <c r="AJ28" s="169" t="e">
        <f>STDEV(Таблица3[[#This Row],[1 Цена за единицу без НДС]],Таблица3[[#This Row],[2 Цена за единицу без НДС]],Таблица3[[#This Row],[3 Цена за единицу без НДС]])/Таблица3[[#This Row],[Цена за единицу, руб. ]]</f>
        <v>#DIV/0!</v>
      </c>
      <c r="AK28" s="163">
        <f>Таблица3[[#This Row],[Цена за единицу, руб. ]]*Таблица3[[#This Row],[Кол-во ЛП (мл/шт)]]</f>
        <v>0</v>
      </c>
      <c r="AL28" s="144">
        <f>ROUND((Таблица3[[#This Row],[Цена за единицу, руб. ]]+Таблица3[[#This Row],[Цена за единицу, руб. ]]*10%),2)*Таблица3[[#This Row],[Кол-во ЛП (мл/шт)]]</f>
        <v>0</v>
      </c>
      <c r="AM28" s="168"/>
    </row>
    <row r="29" spans="1:39" s="65" customFormat="1" ht="25.5" x14ac:dyDescent="0.25">
      <c r="A29" s="51">
        <v>22</v>
      </c>
      <c r="B29" s="51">
        <v>18</v>
      </c>
      <c r="C29" s="51"/>
      <c r="D29" s="51" t="s">
        <v>180</v>
      </c>
      <c r="E29" s="51"/>
      <c r="F29" s="51" t="str">
        <f>VLOOKUP(Таблица3[[#This Row],[№ п/п]],'Спецификация 25'!$1:$1048576,2,0)</f>
        <v>Аммиак 10% 40 мл.</v>
      </c>
      <c r="G29" s="51" t="str">
        <f>VLOOKUP(Таблица3[[#This Row],[№ п/п]],'Спецификация 25'!$1:$1048576,3,0)</f>
        <v>Аммиак</v>
      </c>
      <c r="H29" s="51" t="str">
        <f>VLOOKUP(Таблица3[[#This Row],[№ п/п]],'Спецификация 25'!$1:$1048576,7,0)</f>
        <v>Раствор для наружного применения и ингаляций</v>
      </c>
      <c r="I29" s="51" t="str" cm="1">
        <f t="array" ref="I29">IFERROR(INDEX('Спецификация 25'!$G$2:$G$113,MATCH(Таблица3[[#This Row],[№ п/п]]&amp;Таблица3[[#Headers],[Дозировка]],'Спецификация 25'!$A$2:$A$113&amp;'Спецификация 25'!$F$2:$F$113,0)),"нет")</f>
        <v>100 мг/мл</v>
      </c>
      <c r="J29" s="51" t="str" cm="1">
        <f t="array" ref="J29">IFERROR(INDEX('Спецификация 25'!$G$2:$G$113,MATCH(Таблица3[[#This Row],[№ п/п]]&amp;Таблица3[[#Headers],[Первичная упаковка]],'Спецификация 25'!$A$2:$A$113&amp;'Спецификация 25'!$F$2:$F$113,0)),"нет")</f>
        <v>Флакон</v>
      </c>
      <c r="K29" s="51" t="str" cm="1">
        <f t="array" ref="K29">IFERROR(INDEX('Спецификация 25'!$G$2:$G$113,MATCH(Таблица3[[#This Row],[№ п/п]]&amp;Таблица3[[#Headers],[Описание упаковки]],'Спецификация 25'!$A$2:$A$113&amp;'Спецификация 25'!$F$2:$F$113,0)),"")</f>
        <v>40 мл</v>
      </c>
      <c r="L29" s="51" t="str">
        <f>VLOOKUP(Таблица3[[#This Row],[№ п/п]],'Спецификация 25'!$1:$1048576,8,0)</f>
        <v>мл</v>
      </c>
      <c r="M29" s="72">
        <v>25.5</v>
      </c>
      <c r="N29" s="68">
        <v>0.1</v>
      </c>
      <c r="O29" s="69">
        <f>Таблица3[[#This Row],[1 Цена за уп с НДС]]-Таблица3[[#This Row],[1 Цена за уп с НДС]]*(1-1/(1+N29))</f>
        <v>23.18181818181818</v>
      </c>
      <c r="P29" s="70" t="str">
        <f>LEFT(Таблица3[[#This Row],[Описание упаковки]],2)</f>
        <v>40</v>
      </c>
      <c r="Q29" s="70">
        <v>1</v>
      </c>
      <c r="R29" s="71">
        <f>ROUNDDOWN(Таблица3[[#This Row],[1 Цена за уп без НДС]]/Таблица3[[#This Row],[1 Кол-во шт в уп]]/Таблица3[[#This Row],[1 Объем катриджа]],2)</f>
        <v>0.56999999999999995</v>
      </c>
      <c r="S29" s="95">
        <v>26.5</v>
      </c>
      <c r="T29" s="91">
        <v>0.1</v>
      </c>
      <c r="U29" s="92">
        <f>Таблица3[[#This Row],[2 Цена за уп с НДС]]-(Таблица3[[#This Row],[2 Цена за уп с НДС]]*(1-1/(1+T29)))</f>
        <v>24.09090909090909</v>
      </c>
      <c r="V29" s="93" t="str">
        <f>Таблица3[[#This Row],[1 Кол-во шт в уп]]</f>
        <v>40</v>
      </c>
      <c r="W29" s="93">
        <f>Таблица3[[#This Row],[1 Объем катриджа]]</f>
        <v>1</v>
      </c>
      <c r="X29" s="94">
        <f>ROUNDDOWN(Таблица3[[#This Row],[2 Цена за уп без НДС и Оптовой над.]]/Таблица3[[#This Row],[2 Кол-во шт в уп]]/Таблица3[[#This Row],[2 Объем катриджа]],2)</f>
        <v>0.6</v>
      </c>
      <c r="Y29" s="72">
        <v>26.58</v>
      </c>
      <c r="Z29" s="68">
        <v>0.1</v>
      </c>
      <c r="AA29" s="69">
        <f>Таблица3[[#This Row],[3 Цена за уп с НДС]]-(Таблица3[[#This Row],[3 Цена за уп с НДС]]*(1-1/(1+Z29)))</f>
        <v>24.16363636363636</v>
      </c>
      <c r="AB29" s="70" t="str">
        <f>Таблица3[[#This Row],[1 Кол-во шт в уп]]</f>
        <v>40</v>
      </c>
      <c r="AC29" s="70">
        <f>Таблица3[[#This Row],[1 Объем катриджа]]</f>
        <v>1</v>
      </c>
      <c r="AD29" s="71">
        <f>ROUNDDOWN(Таблица3[[#This Row],[3 Цена за уп без НДС и Оптовой над.]]/Таблица3[[#This Row],[3 Кол-во шт в уп]]/Таблица3[[#This Row],[3 Объем катриджа]],2)</f>
        <v>0.6</v>
      </c>
      <c r="AE29" s="100">
        <f>ROUND(MIN(Таблица3[[#This Row],[1 Цена за единицу без НДС]],Таблица3[[#This Row],[2 Цена за единицу без НДС]],Таблица3[[#This Row],[3 Цена за единицу без НДС]]),2)</f>
        <v>0.56999999999999995</v>
      </c>
      <c r="AF29" s="143">
        <f>VLOOKUP(Таблица3[[#This Row],[№ п/п]],'Спецификация 25'!$1:$1048576,10,0)</f>
        <v>30</v>
      </c>
      <c r="AG29" s="109" t="str">
        <f>Таблица3[[#This Row],[1 Кол-во шт в уп]]</f>
        <v>40</v>
      </c>
      <c r="AH29" s="109">
        <f>Таблица3[[#This Row],[1 Объем катриджа]]</f>
        <v>1</v>
      </c>
      <c r="AI29" s="110">
        <f>Таблица3[[#This Row],[Кол-во Упак]]*Таблица3[[#This Row],[Объем]]*Таблица3[[#This Row],[Кол-во шт в уп]]</f>
        <v>1200</v>
      </c>
      <c r="AJ29" s="169">
        <f>STDEV(Таблица3[[#This Row],[1 Цена за единицу без НДС]],Таблица3[[#This Row],[2 Цена за единицу без НДС]],Таблица3[[#This Row],[3 Цена за единицу без НДС]])/Таблица3[[#This Row],[Цена за единицу, руб. ]]</f>
        <v>3.0386856273138224E-2</v>
      </c>
      <c r="AK29" s="163">
        <f>Таблица3[[#This Row],[Цена за единицу, руб. ]]*Таблица3[[#This Row],[Кол-во ЛП (мл/шт)]]</f>
        <v>683.99999999999989</v>
      </c>
      <c r="AL29" s="144">
        <f>ROUND((Таблица3[[#This Row],[Цена за единицу, руб. ]]+Таблица3[[#This Row],[Цена за единицу, руб. ]]*10%),2)*Таблица3[[#This Row],[Кол-во ЛП (мл/шт)]]</f>
        <v>756</v>
      </c>
      <c r="AM29" s="168"/>
    </row>
    <row r="30" spans="1:39" s="65" customFormat="1" ht="14.25" x14ac:dyDescent="0.25">
      <c r="A30" s="51">
        <v>23</v>
      </c>
      <c r="B30" s="51">
        <v>19</v>
      </c>
      <c r="C30" s="107"/>
      <c r="D30" s="51" t="s">
        <v>180</v>
      </c>
      <c r="E30" s="51"/>
      <c r="F30" s="51" t="str">
        <f>VLOOKUP(Таблица3[[#This Row],[№ п/п]],'Спецификация 25'!$1:$1048576,2,0)</f>
        <v>Вазелин 30 гр</v>
      </c>
      <c r="G30" s="51" t="str">
        <f>VLOOKUP(Таблица3[[#This Row],[№ п/п]],'Спецификация 25'!$1:$1048576,3,0)</f>
        <v>Вазелин</v>
      </c>
      <c r="H30" s="51" t="str">
        <f>VLOOKUP(Таблица3[[#This Row],[№ п/п]],'Спецификация 25'!$1:$1048576,7,0)</f>
        <v>Мазь для наружного применения</v>
      </c>
      <c r="I30" s="51" t="str" cm="1">
        <f t="array" ref="I30">IFERROR(INDEX('Спецификация 25'!$G$2:$G$113,MATCH(Таблица3[[#This Row],[№ п/п]]&amp;Таблица3[[#Headers],[Дозировка]],'Спецификация 25'!$A$2:$A$113&amp;'Спецификация 25'!$F$2:$F$113,0)),"нет")</f>
        <v>нет</v>
      </c>
      <c r="J30" s="51" t="str" cm="1">
        <f t="array" ref="J30">IFERROR(INDEX('Спецификация 25'!$G$2:$G$113,MATCH(Таблица3[[#This Row],[№ п/п]]&amp;Таблица3[[#Headers],[Первичная упаковка]],'Спецификация 25'!$A$2:$A$113&amp;'Спецификация 25'!$F$2:$F$113,0)),"нет")</f>
        <v>Туба</v>
      </c>
      <c r="K30" s="51" t="str" cm="1">
        <f t="array" ref="K30">IFERROR(INDEX('Спецификация 25'!$G$2:$G$113,MATCH(Таблица3[[#This Row],[№ п/п]]&amp;Таблица3[[#Headers],[Описание упаковки]],'Спецификация 25'!$A$2:$A$113&amp;'Спецификация 25'!$F$2:$F$113,0)),"")</f>
        <v>30 гр</v>
      </c>
      <c r="L30" s="51" t="str">
        <f>VLOOKUP(Таблица3[[#This Row],[№ п/п]],'Спецификация 25'!$1:$1048576,8,0)</f>
        <v>г</v>
      </c>
      <c r="M30" s="67">
        <v>65</v>
      </c>
      <c r="N30" s="68">
        <v>0.1</v>
      </c>
      <c r="O30" s="69">
        <f>Таблица3[[#This Row],[1 Цена за уп с НДС]]-Таблица3[[#This Row],[1 Цена за уп с НДС]]*(1-1/(1+N30))</f>
        <v>59.090909090909086</v>
      </c>
      <c r="P30" s="70" t="str">
        <f>LEFT(Таблица3[[#This Row],[Описание упаковки]],2)</f>
        <v>30</v>
      </c>
      <c r="Q30"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30" s="71">
        <f>ROUNDDOWN(Таблица3[[#This Row],[1 Цена за уп без НДС]]/Таблица3[[#This Row],[1 Кол-во шт в уп]]/Таблица3[[#This Row],[1 Объем катриджа]],2)</f>
        <v>1.96</v>
      </c>
      <c r="S30" s="95">
        <v>66</v>
      </c>
      <c r="T30" s="91">
        <v>0.1</v>
      </c>
      <c r="U30" s="92">
        <f>Таблица3[[#This Row],[2 Цена за уп с НДС]]-(Таблица3[[#This Row],[2 Цена за уп с НДС]]*(1-1/(1+T30)))</f>
        <v>60</v>
      </c>
      <c r="V30" s="93" t="str">
        <f>Таблица3[[#This Row],[1 Кол-во шт в уп]]</f>
        <v>30</v>
      </c>
      <c r="W30" s="93">
        <f>Таблица3[[#This Row],[1 Объем катриджа]]</f>
        <v>1</v>
      </c>
      <c r="X30" s="94">
        <f>ROUNDDOWN(Таблица3[[#This Row],[2 Цена за уп без НДС и Оптовой над.]]/Таблица3[[#This Row],[2 Кол-во шт в уп]]/Таблица3[[#This Row],[2 Объем катриджа]],2)</f>
        <v>2</v>
      </c>
      <c r="Y30" s="72">
        <v>66.2</v>
      </c>
      <c r="Z30" s="68">
        <v>0.1</v>
      </c>
      <c r="AA30" s="69">
        <f>Таблица3[[#This Row],[3 Цена за уп с НДС]]-(Таблица3[[#This Row],[3 Цена за уп с НДС]]*(1-1/(1+Z30)))</f>
        <v>60.18181818181818</v>
      </c>
      <c r="AB30" s="70" t="str">
        <f>Таблица3[[#This Row],[1 Кол-во шт в уп]]</f>
        <v>30</v>
      </c>
      <c r="AC30" s="70">
        <f>Таблица3[[#This Row],[1 Объем катриджа]]</f>
        <v>1</v>
      </c>
      <c r="AD30" s="102">
        <f>ROUNDDOWN(Таблица3[[#This Row],[3 Цена за уп без НДС и Оптовой над.]]/Таблица3[[#This Row],[3 Кол-во шт в уп]]/Таблица3[[#This Row],[3 Объем катриджа]],2)</f>
        <v>2</v>
      </c>
      <c r="AE30" s="100">
        <f>ROUND(MIN(Таблица3[[#This Row],[1 Цена за единицу без НДС]],Таблица3[[#This Row],[2 Цена за единицу без НДС]],Таблица3[[#This Row],[3 Цена за единицу без НДС]]),2)</f>
        <v>1.96</v>
      </c>
      <c r="AF30" s="143">
        <f>VLOOKUP(Таблица3[[#This Row],[№ п/п]],'Спецификация 25'!$1:$1048576,10,0)</f>
        <v>10</v>
      </c>
      <c r="AG30" s="109" t="str">
        <f>Таблица3[[#This Row],[1 Кол-во шт в уп]]</f>
        <v>30</v>
      </c>
      <c r="AH30" s="109">
        <f>Таблица3[[#This Row],[1 Объем катриджа]]</f>
        <v>1</v>
      </c>
      <c r="AI30" s="110">
        <f>Таблица3[[#This Row],[Кол-во Упак]]*Таблица3[[#This Row],[Объем]]*Таблица3[[#This Row],[Кол-во шт в уп]]</f>
        <v>300</v>
      </c>
      <c r="AJ30" s="169">
        <f>STDEV(Таблица3[[#This Row],[1 Цена за единицу без НДС]],Таблица3[[#This Row],[2 Цена за единицу без НДС]],Таблица3[[#This Row],[3 Цена за единицу без НДС]])/Таблица3[[#This Row],[Цена за единицу, руб. ]]</f>
        <v>1.1782658554890331E-2</v>
      </c>
      <c r="AK30" s="163">
        <f>Таблица3[[#This Row],[Цена за единицу, руб. ]]*Таблица3[[#This Row],[Кол-во ЛП (мл/шт)]]</f>
        <v>588</v>
      </c>
      <c r="AL30" s="144">
        <f>ROUND((Таблица3[[#This Row],[Цена за единицу, руб. ]]+Таблица3[[#This Row],[Цена за единицу, руб. ]]*10%),2)*Таблица3[[#This Row],[Кол-во ЛП (мл/шт)]]</f>
        <v>648</v>
      </c>
      <c r="AM30" s="168"/>
    </row>
    <row r="31" spans="1:39" s="65" customFormat="1" ht="38.25" x14ac:dyDescent="0.25">
      <c r="A31" s="51">
        <v>24</v>
      </c>
      <c r="B31" s="51">
        <v>20</v>
      </c>
      <c r="C31" s="107"/>
      <c r="D31" s="51" t="s">
        <v>297</v>
      </c>
      <c r="E31" s="51"/>
      <c r="F31" s="51" t="str">
        <f>VLOOKUP(Таблица3[[#This Row],[№ п/п]],'Спецификация 25'!$1:$1048576,2,0)</f>
        <v>Натрия хлорид 0,9% 200 мл</v>
      </c>
      <c r="G31" s="51" t="str">
        <f>VLOOKUP(Таблица3[[#This Row],[№ п/п]],'Спецификация 25'!$1:$1048576,3,0)</f>
        <v>Натрия хлорид</v>
      </c>
      <c r="H31" s="51" t="str">
        <f>VLOOKUP(Таблица3[[#This Row],[№ п/п]],'Спецификация 25'!$1:$1048576,7,0)</f>
        <v>Раствор для инфузий</v>
      </c>
      <c r="I31" s="51" t="str" cm="1">
        <f t="array" ref="I31">IFERROR(INDEX('Спецификация 25'!$G$2:$G$113,MATCH(Таблица3[[#This Row],[№ п/п]]&amp;Таблица3[[#Headers],[Дозировка]],'Спецификация 25'!$A$2:$A$113&amp;'Спецификация 25'!$F$2:$F$113,0)),"нет")</f>
        <v>9 мг/мл</v>
      </c>
      <c r="J31" s="51" t="str" cm="1">
        <f t="array" ref="J31">IFERROR(INDEX('Спецификация 25'!$G$2:$G$113,MATCH(Таблица3[[#This Row],[№ п/п]]&amp;Таблица3[[#Headers],[Первичная упаковка]],'Спецификация 25'!$A$2:$A$113&amp;'Спецификация 25'!$F$2:$F$113,0)),"нет")</f>
        <v>Флакон (полимерный)</v>
      </c>
      <c r="K31" s="51" t="str" cm="1">
        <f t="array" ref="K31">IFERROR(INDEX('Спецификация 25'!$G$2:$G$113,MATCH(Таблица3[[#This Row],[№ п/п]]&amp;Таблица3[[#Headers],[Описание упаковки]],'Спецификация 25'!$A$2:$A$113&amp;'Спецификация 25'!$F$2:$F$113,0)),"")</f>
        <v>200 мл</v>
      </c>
      <c r="L31" s="51" t="str">
        <f>VLOOKUP(Таблица3[[#This Row],[№ п/п]],'Спецификация 25'!$1:$1048576,8,0)</f>
        <v>мл</v>
      </c>
      <c r="M31" s="67">
        <v>76.209999999999994</v>
      </c>
      <c r="N31" s="68">
        <v>0.1</v>
      </c>
      <c r="O31" s="69">
        <f>Таблица3[[#This Row],[1 Цена за уп с НДС]]-Таблица3[[#This Row],[1 Цена за уп с НДС]]*(1-1/(1+N31))</f>
        <v>69.281818181818181</v>
      </c>
      <c r="P31" s="70">
        <v>200</v>
      </c>
      <c r="Q31" s="70">
        <v>1</v>
      </c>
      <c r="R31" s="71">
        <f>ROUNDDOWN(Таблица3[[#This Row],[1 Цена за уп без НДС]]/Таблица3[[#This Row],[1 Кол-во шт в уп]]/Таблица3[[#This Row],[1 Объем катриджа]],2)</f>
        <v>0.34</v>
      </c>
      <c r="S31" s="95">
        <v>76.22</v>
      </c>
      <c r="T31" s="91">
        <v>0.1</v>
      </c>
      <c r="U31" s="92">
        <f>Таблица3[[#This Row],[2 Цена за уп с НДС]]-(Таблица3[[#This Row],[2 Цена за уп с НДС]]*(1-1/(1+T31)))</f>
        <v>69.290909090909082</v>
      </c>
      <c r="V31" s="93">
        <f>Таблица3[[#This Row],[1 Кол-во шт в уп]]</f>
        <v>200</v>
      </c>
      <c r="W31" s="93">
        <f>Таблица3[[#This Row],[1 Объем катриджа]]</f>
        <v>1</v>
      </c>
      <c r="X31" s="94">
        <f>ROUNDDOWN(Таблица3[[#This Row],[2 Цена за уп без НДС и Оптовой над.]]/Таблица3[[#This Row],[2 Кол-во шт в уп]]/Таблица3[[#This Row],[2 Объем катриджа]],2)</f>
        <v>0.34</v>
      </c>
      <c r="Y31" s="72">
        <v>76.45</v>
      </c>
      <c r="Z31" s="68">
        <v>0.1</v>
      </c>
      <c r="AA31" s="69">
        <f>Таблица3[[#This Row],[3 Цена за уп с НДС]]-(Таблица3[[#This Row],[3 Цена за уп с НДС]]*(1-1/(1+Z31)))</f>
        <v>69.5</v>
      </c>
      <c r="AB31" s="70">
        <f>Таблица3[[#This Row],[1 Кол-во шт в уп]]</f>
        <v>200</v>
      </c>
      <c r="AC31" s="70">
        <f>Таблица3[[#This Row],[1 Объем катриджа]]</f>
        <v>1</v>
      </c>
      <c r="AD31" s="102">
        <f>ROUNDDOWN(Таблица3[[#This Row],[3 Цена за уп без НДС и Оптовой над.]]/Таблица3[[#This Row],[3 Кол-во шт в уп]]/Таблица3[[#This Row],[3 Объем катриджа]],2)</f>
        <v>0.34</v>
      </c>
      <c r="AE31" s="100">
        <f>ROUND(MIN(Таблица3[[#This Row],[1 Цена за единицу без НДС]],Таблица3[[#This Row],[2 Цена за единицу без НДС]],Таблица3[[#This Row],[3 Цена за единицу без НДС]]),2)</f>
        <v>0.34</v>
      </c>
      <c r="AF31" s="143">
        <f>VLOOKUP(Таблица3[[#This Row],[№ п/п]],'Спецификация 25'!$1:$1048576,10,0)</f>
        <v>336</v>
      </c>
      <c r="AG31" s="109">
        <f>Таблица3[[#This Row],[1 Кол-во шт в уп]]</f>
        <v>200</v>
      </c>
      <c r="AH31" s="109">
        <f>Таблица3[[#This Row],[1 Объем катриджа]]</f>
        <v>1</v>
      </c>
      <c r="AI31" s="110">
        <f>Таблица3[[#This Row],[Кол-во Упак]]*Таблица3[[#This Row],[Объем]]*Таблица3[[#This Row],[Кол-во шт в уп]]</f>
        <v>67200</v>
      </c>
      <c r="AJ31" s="169">
        <f>STDEV(Таблица3[[#This Row],[1 Цена за единицу без НДС]],Таблица3[[#This Row],[2 Цена за единицу без НДС]],Таблица3[[#This Row],[3 Цена за единицу без НДС]])/Таблица3[[#This Row],[Цена за единицу, руб. ]]</f>
        <v>0</v>
      </c>
      <c r="AK31" s="163">
        <f>Таблица3[[#This Row],[Цена за единицу, руб. ]]*Таблица3[[#This Row],[Кол-во ЛП (мл/шт)]]</f>
        <v>22848</v>
      </c>
      <c r="AL31" s="144">
        <f>ROUND((Таблица3[[#This Row],[Цена за единицу, руб. ]]+Таблица3[[#This Row],[Цена за единицу, руб. ]]*10%),2)*Таблица3[[#This Row],[Кол-во ЛП (мл/шт)]]</f>
        <v>24864</v>
      </c>
      <c r="AM31" s="168"/>
    </row>
    <row r="32" spans="1:39" s="65" customFormat="1" ht="25.5" x14ac:dyDescent="0.25">
      <c r="A32" s="51">
        <v>25</v>
      </c>
      <c r="B32" s="51">
        <v>21</v>
      </c>
      <c r="C32" s="51"/>
      <c r="D32" s="51" t="s">
        <v>297</v>
      </c>
      <c r="E32" s="51"/>
      <c r="F32" s="51" t="str">
        <f>VLOOKUP(Таблица3[[#This Row],[№ п/п]],'Спецификация 25'!$1:$1048576,2,0)</f>
        <v>Натрия хлорид 0,9%  5,0 №10</v>
      </c>
      <c r="G32" s="51" t="str">
        <f>VLOOKUP(Таблица3[[#This Row],[№ п/п]],'Спецификация 25'!$1:$1048576,3,0)</f>
        <v>Натрия хлорид</v>
      </c>
      <c r="H32" s="51" t="str">
        <f>VLOOKUP(Таблица3[[#This Row],[№ п/п]],'Спецификация 25'!$1:$1048576,7,0)</f>
        <v>Раствор для инъекций</v>
      </c>
      <c r="I32" s="51" t="str" cm="1">
        <f t="array" ref="I32">IFERROR(INDEX('Спецификация 25'!$G$2:$G$113,MATCH(Таблица3[[#This Row],[№ п/п]]&amp;Таблица3[[#Headers],[Дозировка]],'Спецификация 25'!$A$2:$A$113&amp;'Спецификация 25'!$F$2:$F$113,0)),"нет")</f>
        <v>9 мг/мл</v>
      </c>
      <c r="J32" s="51" t="str" cm="1">
        <f t="array" ref="J32">IFERROR(INDEX('Спецификация 25'!$G$2:$G$113,MATCH(Таблица3[[#This Row],[№ п/п]]&amp;Таблица3[[#Headers],[Первичная упаковка]],'Спецификация 25'!$A$2:$A$113&amp;'Спецификация 25'!$F$2:$F$113,0)),"нет")</f>
        <v>Ампула</v>
      </c>
      <c r="K32" s="51" t="str" cm="1">
        <f t="array" ref="K32">IFERROR(INDEX('Спецификация 25'!$G$2:$G$113,MATCH(Таблица3[[#This Row],[№ п/п]]&amp;Таблица3[[#Headers],[Описание упаковки]],'Спецификация 25'!$A$2:$A$113&amp;'Спецификация 25'!$F$2:$F$113,0)),"")</f>
        <v>10 амп. по 5 мл</v>
      </c>
      <c r="L32" s="51" t="str">
        <f>VLOOKUP(Таблица3[[#This Row],[№ п/п]],'Спецификация 25'!$1:$1048576,8,0)</f>
        <v>мл</v>
      </c>
      <c r="M32" s="72">
        <v>66.72</v>
      </c>
      <c r="N32" s="68">
        <v>0.1</v>
      </c>
      <c r="O32" s="69">
        <f>Таблица3[[#This Row],[1 Цена за уп с НДС]]-Таблица3[[#This Row],[1 Цена за уп с НДС]]*(1-1/(1+N32))</f>
        <v>60.654545454545449</v>
      </c>
      <c r="P32" s="70" t="str">
        <f>LEFT(Таблица3[[#This Row],[Описание упаковки]],2)</f>
        <v>10</v>
      </c>
      <c r="Q32" s="70" t="str">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5</v>
      </c>
      <c r="R32" s="71">
        <f>ROUNDDOWN(Таблица3[[#This Row],[1 Цена за уп без НДС]]/Таблица3[[#This Row],[1 Кол-во шт в уп]]/Таблица3[[#This Row],[1 Объем катриджа]],2)</f>
        <v>1.21</v>
      </c>
      <c r="S32" s="95">
        <v>66.73</v>
      </c>
      <c r="T32" s="91">
        <v>0.1</v>
      </c>
      <c r="U32" s="92">
        <f>Таблица3[[#This Row],[2 Цена за уп с НДС]]-(Таблица3[[#This Row],[2 Цена за уп с НДС]]*(1-1/(1+T32)))</f>
        <v>60.663636363636364</v>
      </c>
      <c r="V32" s="93" t="str">
        <f>Таблица3[[#This Row],[1 Кол-во шт в уп]]</f>
        <v>10</v>
      </c>
      <c r="W32" s="93" t="str">
        <f>Таблица3[[#This Row],[1 Объем катриджа]]</f>
        <v>5</v>
      </c>
      <c r="X32" s="94">
        <f>ROUNDDOWN(Таблица3[[#This Row],[2 Цена за уп без НДС и Оптовой над.]]/Таблица3[[#This Row],[2 Кол-во шт в уп]]/Таблица3[[#This Row],[2 Объем катриджа]],2)</f>
        <v>1.21</v>
      </c>
      <c r="Y32" s="72">
        <v>66.930000000000007</v>
      </c>
      <c r="Z32" s="68">
        <v>0.1</v>
      </c>
      <c r="AA32" s="69">
        <f>Таблица3[[#This Row],[3 Цена за уп с НДС]]-(Таблица3[[#This Row],[3 Цена за уп с НДС]]*(1-1/(1+Z32)))</f>
        <v>60.845454545454551</v>
      </c>
      <c r="AB32" s="70" t="str">
        <f>Таблица3[[#This Row],[1 Кол-во шт в уп]]</f>
        <v>10</v>
      </c>
      <c r="AC32" s="70" t="str">
        <f>Таблица3[[#This Row],[1 Объем катриджа]]</f>
        <v>5</v>
      </c>
      <c r="AD32" s="102">
        <f>ROUNDDOWN(Таблица3[[#This Row],[3 Цена за уп без НДС и Оптовой над.]]/Таблица3[[#This Row],[3 Кол-во шт в уп]]/Таблица3[[#This Row],[3 Объем катриджа]],2)</f>
        <v>1.21</v>
      </c>
      <c r="AE32" s="100">
        <f>ROUND(MIN(Таблица3[[#This Row],[1 Цена за единицу без НДС]],Таблица3[[#This Row],[2 Цена за единицу без НДС]],Таблица3[[#This Row],[3 Цена за единицу без НДС]]),2)</f>
        <v>1.21</v>
      </c>
      <c r="AF32" s="143">
        <f>VLOOKUP(Таблица3[[#This Row],[№ п/п]],'Спецификация 25'!$1:$1048576,10,0)</f>
        <v>8</v>
      </c>
      <c r="AG32" s="109" t="str">
        <f>Таблица3[[#This Row],[1 Кол-во шт в уп]]</f>
        <v>10</v>
      </c>
      <c r="AH32" s="109" t="str">
        <f>Таблица3[[#This Row],[1 Объем катриджа]]</f>
        <v>5</v>
      </c>
      <c r="AI32" s="110">
        <f>Таблица3[[#This Row],[Кол-во Упак]]*Таблица3[[#This Row],[Объем]]*Таблица3[[#This Row],[Кол-во шт в уп]]</f>
        <v>400</v>
      </c>
      <c r="AJ32" s="169">
        <f>STDEV(Таблица3[[#This Row],[1 Цена за единицу без НДС]],Таблица3[[#This Row],[2 Цена за единицу без НДС]],Таблица3[[#This Row],[3 Цена за единицу без НДС]])/Таблица3[[#This Row],[Цена за единицу, руб. ]]</f>
        <v>0</v>
      </c>
      <c r="AK32" s="163">
        <f>Таблица3[[#This Row],[Цена за единицу, руб. ]]*Таблица3[[#This Row],[Кол-во ЛП (мл/шт)]]</f>
        <v>484</v>
      </c>
      <c r="AL32" s="144">
        <f>ROUND((Таблица3[[#This Row],[Цена за единицу, руб. ]]+Таблица3[[#This Row],[Цена за единицу, руб. ]]*10%),2)*Таблица3[[#This Row],[Кол-во ЛП (мл/шт)]]</f>
        <v>532</v>
      </c>
      <c r="AM32" s="168"/>
    </row>
    <row r="33" spans="1:40" s="65" customFormat="1" ht="25.5" x14ac:dyDescent="0.25">
      <c r="A33" s="51">
        <v>26</v>
      </c>
      <c r="B33" s="58">
        <v>22</v>
      </c>
      <c r="C33" s="58"/>
      <c r="D33" s="51" t="s">
        <v>180</v>
      </c>
      <c r="E33" s="51"/>
      <c r="F33" s="51" t="str">
        <f>VLOOKUP(Таблица3[[#This Row],[№ п/п]],'Спецификация 25'!$1:$1048576,2,0)</f>
        <v>Метрогил дента 20 г.</v>
      </c>
      <c r="G33" s="51" t="str">
        <f>VLOOKUP(Таблица3[[#This Row],[№ п/п]],'Спецификация 25'!$1:$1048576,3,0)</f>
        <v>Метронидазол + Хлоргексидин</v>
      </c>
      <c r="H33" s="51" t="str">
        <f>VLOOKUP(Таблица3[[#This Row],[№ п/п]],'Спецификация 25'!$1:$1048576,7,0)</f>
        <v>Гель стоматологический</v>
      </c>
      <c r="I33" s="51" t="str" cm="1">
        <f t="array" ref="I33">IFERROR(INDEX('Спецификация 25'!$G$2:$G$113,MATCH(Таблица3[[#This Row],[№ п/п]]&amp;Таблица3[[#Headers],[Дозировка]],'Спецификация 25'!$A$2:$A$113&amp;'Спецификация 25'!$F$2:$F$113,0)),"нет")</f>
        <v>10 мг/г + 0,5 мг/г</v>
      </c>
      <c r="J33" s="51" t="str" cm="1">
        <f t="array" ref="J33">IFERROR(INDEX('Спецификация 25'!$G$2:$G$113,MATCH(Таблица3[[#This Row],[№ п/п]]&amp;Таблица3[[#Headers],[Первичная упаковка]],'Спецификация 25'!$A$2:$A$113&amp;'Спецификация 25'!$F$2:$F$113,0)),"нет")</f>
        <v>Туба</v>
      </c>
      <c r="K33" s="51" t="str" cm="1">
        <f t="array" ref="K33">IFERROR(INDEX('Спецификация 25'!$G$2:$G$113,MATCH(Таблица3[[#This Row],[№ п/п]]&amp;Таблица3[[#Headers],[Описание упаковки]],'Спецификация 25'!$A$2:$A$113&amp;'Спецификация 25'!$F$2:$F$113,0)),"")</f>
        <v>20 гр</v>
      </c>
      <c r="L33" s="51" t="str">
        <f>VLOOKUP(Таблица3[[#This Row],[№ п/п]],'Спецификация 25'!$1:$1048576,8,0)</f>
        <v>г</v>
      </c>
      <c r="M33" s="67">
        <v>730</v>
      </c>
      <c r="N33" s="68">
        <v>0.1</v>
      </c>
      <c r="O33" s="69">
        <f>Таблица3[[#This Row],[1 Цена за уп с НДС]]-Таблица3[[#This Row],[1 Цена за уп с НДС]]*(1-1/(1+N33))</f>
        <v>663.63636363636363</v>
      </c>
      <c r="P33" s="70" t="str">
        <f>LEFT(Таблица3[[#This Row],[Описание упаковки]],2)</f>
        <v>20</v>
      </c>
      <c r="Q33" s="70">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33" s="73">
        <f>ROUNDDOWN(Таблица3[[#This Row],[1 Цена за уп без НДС]]/Таблица3[[#This Row],[1 Кол-во шт в уп]]/Таблица3[[#This Row],[1 Объем катриджа]],2)</f>
        <v>33.18</v>
      </c>
      <c r="S33" s="96">
        <v>731</v>
      </c>
      <c r="T33" s="91">
        <v>0.1</v>
      </c>
      <c r="U33" s="92">
        <f>Таблица3[[#This Row],[2 Цена за уп с НДС]]-(Таблица3[[#This Row],[2 Цена за уп с НДС]]*(1-1/(1+T33)))</f>
        <v>664.5454545454545</v>
      </c>
      <c r="V33" s="93" t="str">
        <f>Таблица3[[#This Row],[1 Кол-во шт в уп]]</f>
        <v>20</v>
      </c>
      <c r="W33" s="93">
        <f>Таблица3[[#This Row],[1 Объем катриджа]]</f>
        <v>1</v>
      </c>
      <c r="X33" s="97">
        <f>ROUNDDOWN(Таблица3[[#This Row],[2 Цена за уп без НДС и Оптовой над.]]/Таблица3[[#This Row],[2 Кол-во шт в уп]]/Таблица3[[#This Row],[2 Объем катриджа]],2)</f>
        <v>33.22</v>
      </c>
      <c r="Y33" s="99">
        <v>733.19</v>
      </c>
      <c r="Z33" s="68">
        <v>0.1</v>
      </c>
      <c r="AA33" s="69">
        <f>Таблица3[[#This Row],[3 Цена за уп с НДС]]-(Таблица3[[#This Row],[3 Цена за уп с НДС]]*(1-1/(1+Z33)))</f>
        <v>666.5363636363636</v>
      </c>
      <c r="AB33" s="70" t="str">
        <f>Таблица3[[#This Row],[1 Кол-во шт в уп]]</f>
        <v>20</v>
      </c>
      <c r="AC33" s="70">
        <f>Таблица3[[#This Row],[1 Объем катриджа]]</f>
        <v>1</v>
      </c>
      <c r="AD33" s="103">
        <f>ROUNDDOWN(Таблица3[[#This Row],[3 Цена за уп без НДС и Оптовой над.]]/Таблица3[[#This Row],[3 Кол-во шт в уп]]/Таблица3[[#This Row],[3 Объем катриджа]],2)</f>
        <v>33.32</v>
      </c>
      <c r="AE33" s="100">
        <f>ROUND(MIN(Таблица3[[#This Row],[1 Цена за единицу без НДС]],Таблица3[[#This Row],[2 Цена за единицу без НДС]],Таблица3[[#This Row],[3 Цена за единицу без НДС]]),2)</f>
        <v>33.18</v>
      </c>
      <c r="AF33" s="143">
        <f>VLOOKUP(Таблица3[[#This Row],[№ п/п]],'Спецификация 25'!$1:$1048576,10,0)</f>
        <v>30</v>
      </c>
      <c r="AG33" s="109" t="str">
        <f>Таблица3[[#This Row],[1 Кол-во шт в уп]]</f>
        <v>20</v>
      </c>
      <c r="AH33" s="109">
        <f>Таблица3[[#This Row],[1 Объем катриджа]]</f>
        <v>1</v>
      </c>
      <c r="AI33" s="110">
        <f>Таблица3[[#This Row],[Кол-во Упак]]*Таблица3[[#This Row],[Объем]]*Таблица3[[#This Row],[Кол-во шт в уп]]</f>
        <v>600</v>
      </c>
      <c r="AJ33" s="169">
        <f>STDEV(Таблица3[[#This Row],[1 Цена за единицу без НДС]],Таблица3[[#This Row],[2 Цена за единицу без НДС]],Таблица3[[#This Row],[3 Цена за единицу без НДС]])/Таблица3[[#This Row],[Цена за единицу, руб. ]]</f>
        <v>2.1733280744207417E-3</v>
      </c>
      <c r="AK33" s="163">
        <f>Таблица3[[#This Row],[Цена за единицу, руб. ]]*Таблица3[[#This Row],[Кол-во ЛП (мл/шт)]]</f>
        <v>19908</v>
      </c>
      <c r="AL33" s="144">
        <f>ROUND((Таблица3[[#This Row],[Цена за единицу, руб. ]]+Таблица3[[#This Row],[Цена за единицу, руб. ]]*10%),2)*Таблица3[[#This Row],[Кол-во ЛП (мл/шт)]]</f>
        <v>21900</v>
      </c>
      <c r="AM33" s="168"/>
    </row>
    <row r="34" spans="1:40" s="65" customFormat="1" ht="38.25" x14ac:dyDescent="0.25">
      <c r="A34" s="51">
        <v>27</v>
      </c>
      <c r="B34" s="58">
        <v>23</v>
      </c>
      <c r="C34" s="58"/>
      <c r="D34" s="51" t="s">
        <v>297</v>
      </c>
      <c r="E34" s="51"/>
      <c r="F34" s="51" t="str">
        <f>VLOOKUP(Таблица3[[#This Row],[№ п/п]],'Спецификация 25'!$1:$1048576,2,0)</f>
        <v>Перекись водорода 3% 100 мл</v>
      </c>
      <c r="G34" s="51" t="str">
        <f>VLOOKUP(Таблица3[[#This Row],[№ п/п]],'Спецификация 25'!$1:$1048576,3,0)</f>
        <v>Водорода пероксид</v>
      </c>
      <c r="H34" s="51" t="str">
        <f>VLOOKUP(Таблица3[[#This Row],[№ п/п]],'Спецификация 25'!$1:$1048576,7,0)</f>
        <v>Раствор для местного и наружного применения.</v>
      </c>
      <c r="I34" s="51" t="str" cm="1">
        <f t="array" ref="I34">IFERROR(INDEX('Спецификация 25'!$G$2:$G$113,MATCH(Таблица3[[#This Row],[№ п/п]]&amp;Таблица3[[#Headers],[Дозировка]],'Спецификация 25'!$A$2:$A$113&amp;'Спецификация 25'!$F$2:$F$113,0)),"нет")</f>
        <v>нет</v>
      </c>
      <c r="J34" s="51" t="str" cm="1">
        <f t="array" ref="J34">IFERROR(INDEX('Спецификация 25'!$G$2:$G$113,MATCH(Таблица3[[#This Row],[№ п/п]]&amp;Таблица3[[#Headers],[Первичная упаковка]],'Спецификация 25'!$A$2:$A$113&amp;'Спецификация 25'!$F$2:$F$113,0)),"нет")</f>
        <v>Флакон (полимерный)</v>
      </c>
      <c r="K34" s="51" t="str" cm="1">
        <f t="array" ref="K34">IFERROR(INDEX('Спецификация 25'!$G$2:$G$113,MATCH(Таблица3[[#This Row],[№ п/п]]&amp;Таблица3[[#Headers],[Описание упаковки]],'Спецификация 25'!$A$2:$A$113&amp;'Спецификация 25'!$F$2:$F$113,0)),"")</f>
        <v>100 мл</v>
      </c>
      <c r="L34" s="51" t="str">
        <f>VLOOKUP(Таблица3[[#This Row],[№ п/п]],'Спецификация 25'!$1:$1048576,8,0)</f>
        <v>мл</v>
      </c>
      <c r="M34" s="67">
        <v>12.03</v>
      </c>
      <c r="N34" s="68">
        <v>0.1</v>
      </c>
      <c r="O34" s="69">
        <f>Таблица3[[#This Row],[1 Цена за уп с НДС]]-Таблица3[[#This Row],[1 Цена за уп с НДС]]*(1-1/(1+N34))</f>
        <v>10.936363636363636</v>
      </c>
      <c r="P34" s="70">
        <v>100</v>
      </c>
      <c r="Q34" s="70">
        <v>1</v>
      </c>
      <c r="R34" s="73">
        <f>ROUNDDOWN(Таблица3[[#This Row],[1 Цена за уп без НДС]]/Таблица3[[#This Row],[1 Кол-во шт в уп]]/Таблица3[[#This Row],[1 Объем катриджа]],2)</f>
        <v>0.1</v>
      </c>
      <c r="S34" s="96">
        <v>12.03</v>
      </c>
      <c r="T34" s="91">
        <v>0.1</v>
      </c>
      <c r="U34" s="92">
        <f>Таблица3[[#This Row],[2 Цена за уп с НДС]]-(Таблица3[[#This Row],[2 Цена за уп с НДС]]*(1-1/(1+T34)))</f>
        <v>10.936363636363636</v>
      </c>
      <c r="V34" s="93">
        <f>Таблица3[[#This Row],[1 Кол-во шт в уп]]</f>
        <v>100</v>
      </c>
      <c r="W34" s="93">
        <f>Таблица3[[#This Row],[1 Объем катриджа]]</f>
        <v>1</v>
      </c>
      <c r="X34" s="97">
        <f>ROUNDDOWN(Таблица3[[#This Row],[2 Цена за уп без НДС и Оптовой над.]]/Таблица3[[#This Row],[2 Кол-во шт в уп]]/Таблица3[[#This Row],[2 Объем катриджа]],2)</f>
        <v>0.1</v>
      </c>
      <c r="Y34" s="99">
        <v>12.07</v>
      </c>
      <c r="Z34" s="68">
        <v>0.1</v>
      </c>
      <c r="AA34" s="69">
        <f>Таблица3[[#This Row],[3 Цена за уп с НДС]]-(Таблица3[[#This Row],[3 Цена за уп с НДС]]*(1-1/(1+Z34)))</f>
        <v>10.972727272727273</v>
      </c>
      <c r="AB34" s="70">
        <f>Таблица3[[#This Row],[1 Кол-во шт в уп]]</f>
        <v>100</v>
      </c>
      <c r="AC34" s="70">
        <f>Таблица3[[#This Row],[1 Объем катриджа]]</f>
        <v>1</v>
      </c>
      <c r="AD34" s="102">
        <f>ROUNDDOWN(Таблица3[[#This Row],[3 Цена за уп без НДС и Оптовой над.]]/Таблица3[[#This Row],[3 Кол-во шт в уп]]/Таблица3[[#This Row],[3 Объем катриджа]],2)</f>
        <v>0.1</v>
      </c>
      <c r="AE34" s="100">
        <f>ROUND(MIN(Таблица3[[#This Row],[1 Цена за единицу без НДС]],Таблица3[[#This Row],[2 Цена за единицу без НДС]],Таблица3[[#This Row],[3 Цена за единицу без НДС]]),2)</f>
        <v>0.1</v>
      </c>
      <c r="AF34" s="143">
        <f>VLOOKUP(Таблица3[[#This Row],[№ п/п]],'Спецификация 25'!$1:$1048576,10,0)</f>
        <v>150</v>
      </c>
      <c r="AG34" s="109">
        <f>Таблица3[[#This Row],[1 Кол-во шт в уп]]</f>
        <v>100</v>
      </c>
      <c r="AH34" s="109">
        <f>Таблица3[[#This Row],[1 Объем катриджа]]</f>
        <v>1</v>
      </c>
      <c r="AI34" s="110">
        <f>Таблица3[[#This Row],[Кол-во Упак]]*Таблица3[[#This Row],[Объем]]*Таблица3[[#This Row],[Кол-во шт в уп]]</f>
        <v>15000</v>
      </c>
      <c r="AJ34" s="169">
        <f>STDEV(Таблица3[[#This Row],[1 Цена за единицу без НДС]],Таблица3[[#This Row],[2 Цена за единицу без НДС]],Таблица3[[#This Row],[3 Цена за единицу без НДС]])/Таблица3[[#This Row],[Цена за единицу, руб. ]]</f>
        <v>1.6996749443881477E-16</v>
      </c>
      <c r="AK34" s="163">
        <f>Таблица3[[#This Row],[Цена за единицу, руб. ]]*Таблица3[[#This Row],[Кол-во ЛП (мл/шт)]]</f>
        <v>1500</v>
      </c>
      <c r="AL34" s="144">
        <f>ROUND((Таблица3[[#This Row],[Цена за единицу, руб. ]]+Таблица3[[#This Row],[Цена за единицу, руб. ]]*10%),2)*Таблица3[[#This Row],[Кол-во ЛП (мл/шт)]]</f>
        <v>1650</v>
      </c>
      <c r="AM34" s="168"/>
    </row>
    <row r="35" spans="1:40" s="65" customFormat="1" ht="51" x14ac:dyDescent="0.25">
      <c r="A35" s="51">
        <v>28</v>
      </c>
      <c r="B35" s="58">
        <v>24</v>
      </c>
      <c r="C35" s="58"/>
      <c r="D35" s="51" t="s">
        <v>297</v>
      </c>
      <c r="E35" s="58"/>
      <c r="F35" s="51" t="str">
        <f>VLOOKUP(Таблица3[[#This Row],[№ п/п]],'Спецификация 25'!$1:$1048576,2,0)</f>
        <v>Хлоргексидина биглюконата раствор 0,05% 100 мл</v>
      </c>
      <c r="G35" s="51" t="str">
        <f>VLOOKUP(Таблица3[[#This Row],[№ п/п]],'Спецификация 25'!$1:$1048576,3,0)</f>
        <v>Хлоргексидин</v>
      </c>
      <c r="H35" s="51" t="str">
        <f>VLOOKUP(Таблица3[[#This Row],[№ п/п]],'Спецификация 25'!$1:$1048576,7,0)</f>
        <v>Раствор для наружного применения.</v>
      </c>
      <c r="I35" s="51" t="str" cm="1">
        <f t="array" ref="I35">IFERROR(INDEX('Спецификация 25'!$G$2:$G$113,MATCH(Таблица3[[#This Row],[№ п/п]]&amp;Таблица3[[#Headers],[Дозировка]],'Спецификация 25'!$A$2:$A$113&amp;'Спецификация 25'!$F$2:$F$113,0)),"нет")</f>
        <v>0.5 мг/мл</v>
      </c>
      <c r="J35" s="51" t="str" cm="1">
        <f t="array" ref="J35">IFERROR(INDEX('Спецификация 25'!$G$2:$G$113,MATCH(Таблица3[[#This Row],[№ п/п]]&amp;Таблица3[[#Headers],[Первичная упаковка]],'Спецификация 25'!$A$2:$A$113&amp;'Спецификация 25'!$F$2:$F$113,0)),"нет")</f>
        <v>Флакон (полимерный)</v>
      </c>
      <c r="K35" s="51" t="str" cm="1">
        <f t="array" ref="K35">IFERROR(INDEX('Спецификация 25'!$G$2:$G$113,MATCH(Таблица3[[#This Row],[№ п/п]]&amp;Таблица3[[#Headers],[Описание упаковки]],'Спецификация 25'!$A$2:$A$113&amp;'Спецификация 25'!$F$2:$F$113,0)),"")</f>
        <v>100 мл</v>
      </c>
      <c r="L35" s="51" t="str">
        <f>VLOOKUP(Таблица3[[#This Row],[№ п/п]],'Спецификация 25'!$1:$1048576,8,0)</f>
        <v>мл</v>
      </c>
      <c r="M35" s="67">
        <v>20.68</v>
      </c>
      <c r="N35" s="68">
        <v>0.1</v>
      </c>
      <c r="O35" s="69">
        <f>Таблица3[[#This Row],[1 Цена за уп с НДС]]-Таблица3[[#This Row],[1 Цена за уп с НДС]]*(1-1/(1+N35))</f>
        <v>18.8</v>
      </c>
      <c r="P35" s="70">
        <v>100</v>
      </c>
      <c r="Q35" s="70">
        <v>1</v>
      </c>
      <c r="R35" s="73">
        <f>ROUNDDOWN(Таблица3[[#This Row],[1 Цена за уп без НДС]]/Таблица3[[#This Row],[1 Кол-во шт в уп]]/Таблица3[[#This Row],[1 Объем катриджа]],2)</f>
        <v>0.18</v>
      </c>
      <c r="S35" s="96">
        <v>20.69</v>
      </c>
      <c r="T35" s="91">
        <v>0.1</v>
      </c>
      <c r="U35" s="92">
        <f>Таблица3[[#This Row],[2 Цена за уп с НДС]]-(Таблица3[[#This Row],[2 Цена за уп с НДС]]*(1-1/(1+T35)))</f>
        <v>18.809090909090909</v>
      </c>
      <c r="V35" s="93">
        <f>Таблица3[[#This Row],[1 Кол-во шт в уп]]</f>
        <v>100</v>
      </c>
      <c r="W35" s="93">
        <f>Таблица3[[#This Row],[1 Объем катриджа]]</f>
        <v>1</v>
      </c>
      <c r="X35" s="97">
        <f>ROUNDDOWN(Таблица3[[#This Row],[2 Цена за уп без НДС и Оптовой над.]]/Таблица3[[#This Row],[2 Кол-во шт в уп]]/Таблица3[[#This Row],[2 Объем катриджа]],2)</f>
        <v>0.18</v>
      </c>
      <c r="Y35" s="99">
        <v>20.75</v>
      </c>
      <c r="Z35" s="68">
        <v>0.1</v>
      </c>
      <c r="AA35" s="69">
        <f>Таблица3[[#This Row],[3 Цена за уп с НДС]]-(Таблица3[[#This Row],[3 Цена за уп с НДС]]*(1-1/(1+Z35)))</f>
        <v>18.863636363636363</v>
      </c>
      <c r="AB35" s="70">
        <f>Таблица3[[#This Row],[1 Кол-во шт в уп]]</f>
        <v>100</v>
      </c>
      <c r="AC35" s="70">
        <f>Таблица3[[#This Row],[1 Объем катриджа]]</f>
        <v>1</v>
      </c>
      <c r="AD35" s="103">
        <f>ROUNDDOWN(Таблица3[[#This Row],[3 Цена за уп без НДС и Оптовой над.]]/Таблица3[[#This Row],[3 Кол-во шт в уп]]/Таблица3[[#This Row],[3 Объем катриджа]],2)</f>
        <v>0.18</v>
      </c>
      <c r="AE35" s="100">
        <f>ROUND(MIN(Таблица3[[#This Row],[1 Цена за единицу без НДС]],Таблица3[[#This Row],[2 Цена за единицу без НДС]],Таблица3[[#This Row],[3 Цена за единицу без НДС]]),2)</f>
        <v>0.18</v>
      </c>
      <c r="AF35" s="143">
        <f>VLOOKUP(Таблица3[[#This Row],[№ п/п]],'Спецификация 25'!$1:$1048576,10,0)</f>
        <v>400</v>
      </c>
      <c r="AG35" s="109">
        <f>Таблица3[[#This Row],[1 Кол-во шт в уп]]</f>
        <v>100</v>
      </c>
      <c r="AH35" s="109">
        <f>Таблица3[[#This Row],[1 Объем катриджа]]</f>
        <v>1</v>
      </c>
      <c r="AI35" s="110">
        <f>Таблица3[[#This Row],[Кол-во Упак]]*Таблица3[[#This Row],[Объем]]*Таблица3[[#This Row],[Кол-во шт в уп]]</f>
        <v>40000</v>
      </c>
      <c r="AJ35" s="169">
        <f>STDEV(Таблица3[[#This Row],[1 Цена за единицу без НДС]],Таблица3[[#This Row],[2 Цена за единицу без НДС]],Таблица3[[#This Row],[3 Цена за единицу без НДС]])/Таблица3[[#This Row],[Цена за единицу, руб. ]]</f>
        <v>1.888527715986831E-16</v>
      </c>
      <c r="AK35" s="163">
        <f>Таблица3[[#This Row],[Цена за единицу, руб. ]]*Таблица3[[#This Row],[Кол-во ЛП (мл/шт)]]</f>
        <v>7200</v>
      </c>
      <c r="AL35" s="144">
        <f>ROUND((Таблица3[[#This Row],[Цена за единицу, руб. ]]+Таблица3[[#This Row],[Цена за единицу, руб. ]]*10%),2)*Таблица3[[#This Row],[Кол-во ЛП (мл/шт)]]</f>
        <v>8000</v>
      </c>
      <c r="AM35" s="168"/>
    </row>
    <row r="36" spans="1:40" s="65" customFormat="1" ht="38.25" x14ac:dyDescent="0.25">
      <c r="A36" s="51">
        <v>29</v>
      </c>
      <c r="B36" s="58">
        <v>25</v>
      </c>
      <c r="C36" s="58"/>
      <c r="D36" s="51" t="s">
        <v>180</v>
      </c>
      <c r="E36" s="58"/>
      <c r="F36" s="51" t="str">
        <f>VLOOKUP(Таблица3[[#This Row],[№ п/п]],'Спецификация 25'!$1:$1048576,2,0)</f>
        <v>Сульфацил натрия 20%  1,5 мл №2</v>
      </c>
      <c r="G36" s="51" t="str">
        <f>VLOOKUP(Таблица3[[#This Row],[№ п/п]],'Спецификация 25'!$1:$1048576,3,0)</f>
        <v>Сульфацетамид</v>
      </c>
      <c r="H36" s="51" t="str">
        <f>VLOOKUP(Таблица3[[#This Row],[№ п/п]],'Спецификация 25'!$1:$1048576,7,0)</f>
        <v>Капли глазные</v>
      </c>
      <c r="I36" s="51" t="str" cm="1">
        <f t="array" ref="I36">IFERROR(INDEX('Спецификация 25'!$G$2:$G$113,MATCH(Таблица3[[#This Row],[№ п/п]]&amp;Таблица3[[#Headers],[Дозировка]],'Спецификация 25'!$A$2:$A$113&amp;'Спецификация 25'!$F$2:$F$113,0)),"нет")</f>
        <v>200 мг</v>
      </c>
      <c r="J36" s="51" t="str" cm="1">
        <f t="array" ref="J36">IFERROR(INDEX('Спецификация 25'!$G$2:$G$113,MATCH(Таблица3[[#This Row],[№ п/п]]&amp;Таблица3[[#Headers],[Первичная упаковка]],'Спецификация 25'!$A$2:$A$113&amp;'Спецификация 25'!$F$2:$F$113,0)),"нет")</f>
        <v>Флакон-капельница</v>
      </c>
      <c r="K36" s="51" t="str" cm="1">
        <f t="array" ref="K36">IFERROR(INDEX('Спецификация 25'!$G$2:$G$113,MATCH(Таблица3[[#This Row],[№ п/п]]&amp;Таблица3[[#Headers],[Описание упаковки]],'Спецификация 25'!$A$2:$A$113&amp;'Спецификация 25'!$F$2:$F$113,0)),"")</f>
        <v>2 шт. по 1,5 мл</v>
      </c>
      <c r="L36" s="51" t="str">
        <f>VLOOKUP(Таблица3[[#This Row],[№ п/п]],'Спецификация 25'!$1:$1048576,8,0)</f>
        <v>мл</v>
      </c>
      <c r="M36" s="67">
        <v>126</v>
      </c>
      <c r="N36" s="68">
        <v>0.1</v>
      </c>
      <c r="O36" s="69">
        <f>Таблица3[[#This Row],[1 Цена за уп с НДС]]-Таблица3[[#This Row],[1 Цена за уп с НДС]]*(1-1/(1+N36))</f>
        <v>114.54545454545455</v>
      </c>
      <c r="P36" s="70" t="str">
        <f>LEFT(Таблица3[[#This Row],[Описание упаковки]],2)</f>
        <v xml:space="preserve">2 </v>
      </c>
      <c r="Q36" s="70">
        <v>1.5</v>
      </c>
      <c r="R36" s="73">
        <f>ROUNDDOWN(Таблица3[[#This Row],[1 Цена за уп без НДС]]/Таблица3[[#This Row],[1 Кол-во шт в уп]]/Таблица3[[#This Row],[1 Объем катриджа]],2)</f>
        <v>38.18</v>
      </c>
      <c r="S36" s="96">
        <v>127</v>
      </c>
      <c r="T36" s="91">
        <v>0.1</v>
      </c>
      <c r="U36" s="92">
        <f>Таблица3[[#This Row],[2 Цена за уп с НДС]]-(Таблица3[[#This Row],[2 Цена за уп с НДС]]*(1-1/(1+T36)))</f>
        <v>115.45454545454545</v>
      </c>
      <c r="V36" s="93" t="str">
        <f>Таблица3[[#This Row],[1 Кол-во шт в уп]]</f>
        <v xml:space="preserve">2 </v>
      </c>
      <c r="W36" s="93">
        <f>Таблица3[[#This Row],[1 Объем катриджа]]</f>
        <v>1.5</v>
      </c>
      <c r="X36" s="97">
        <f>ROUNDDOWN(Таблица3[[#This Row],[2 Цена за уп без НДС и Оптовой над.]]/Таблица3[[#This Row],[2 Кол-во шт в уп]]/Таблица3[[#This Row],[2 Объем катриджа]],2)</f>
        <v>38.479999999999997</v>
      </c>
      <c r="Y36" s="99">
        <v>127.38</v>
      </c>
      <c r="Z36" s="68">
        <v>0.1</v>
      </c>
      <c r="AA36" s="69">
        <f>Таблица3[[#This Row],[3 Цена за уп с НДС]]-(Таблица3[[#This Row],[3 Цена за уп с НДС]]*(1-1/(1+Z36)))</f>
        <v>115.8</v>
      </c>
      <c r="AB36" s="70" t="str">
        <f>Таблица3[[#This Row],[1 Кол-во шт в уп]]</f>
        <v xml:space="preserve">2 </v>
      </c>
      <c r="AC36" s="70">
        <f>Таблица3[[#This Row],[1 Объем катриджа]]</f>
        <v>1.5</v>
      </c>
      <c r="AD36" s="103">
        <f>ROUNDDOWN(Таблица3[[#This Row],[3 Цена за уп без НДС и Оптовой над.]]/Таблица3[[#This Row],[3 Кол-во шт в уп]]/Таблица3[[#This Row],[3 Объем катриджа]],2)</f>
        <v>38.6</v>
      </c>
      <c r="AE36" s="100">
        <f>ROUND(MIN(Таблица3[[#This Row],[1 Цена за единицу без НДС]],Таблица3[[#This Row],[2 Цена за единицу без НДС]],Таблица3[[#This Row],[3 Цена за единицу без НДС]]),2)</f>
        <v>38.18</v>
      </c>
      <c r="AF36" s="143">
        <f>VLOOKUP(Таблица3[[#This Row],[№ п/п]],'Спецификация 25'!$1:$1048576,10,0)</f>
        <v>10</v>
      </c>
      <c r="AG36" s="109" t="str">
        <f>Таблица3[[#This Row],[1 Кол-во шт в уп]]</f>
        <v xml:space="preserve">2 </v>
      </c>
      <c r="AH36" s="109">
        <f>Таблица3[[#This Row],[1 Объем катриджа]]</f>
        <v>1.5</v>
      </c>
      <c r="AI36" s="110">
        <f>Таблица3[[#This Row],[Кол-во Упак]]*Таблица3[[#This Row],[Объем]]*Таблица3[[#This Row],[Кол-во шт в уп]]</f>
        <v>30</v>
      </c>
      <c r="AJ36" s="169">
        <f>STDEV(Таблица3[[#This Row],[1 Цена за единицу без НДС]],Таблица3[[#This Row],[2 Цена за единицу без НДС]],Таблица3[[#This Row],[3 Цена за единицу без НДС]])/Таблица3[[#This Row],[Цена за единицу, руб. ]]</f>
        <v>5.6661361060198973E-3</v>
      </c>
      <c r="AK36" s="163">
        <f>Таблица3[[#This Row],[Цена за единицу, руб. ]]*Таблица3[[#This Row],[Кол-во ЛП (мл/шт)]]</f>
        <v>1145.4000000000001</v>
      </c>
      <c r="AL36" s="144">
        <f>ROUND((Таблица3[[#This Row],[Цена за единицу, руб. ]]+Таблица3[[#This Row],[Цена за единицу, руб. ]]*10%),2)*Таблица3[[#This Row],[Кол-во ЛП (мл/шт)]]</f>
        <v>1260</v>
      </c>
      <c r="AM36" s="168"/>
    </row>
    <row r="37" spans="1:40" s="65" customFormat="1" ht="25.5" hidden="1" x14ac:dyDescent="0.25">
      <c r="A37" s="51">
        <v>30</v>
      </c>
      <c r="B37" s="58"/>
      <c r="C37" s="58"/>
      <c r="D37" s="51" t="s">
        <v>180</v>
      </c>
      <c r="E37" s="58"/>
      <c r="F37" s="51" t="str">
        <f>VLOOKUP(Таблица3[[#This Row],[№ п/п]],'Спецификация 25'!$1:$1048576,2,0)</f>
        <v>Диоксидин 0,25 мг/мл 150 мл</v>
      </c>
      <c r="G37" s="51" t="str">
        <f>VLOOKUP(Таблица3[[#This Row],[№ п/п]],'Спецификация 25'!$1:$1048576,3,0)</f>
        <v>Гидроксиметилхиноксалиндиоксид</v>
      </c>
      <c r="H37" s="51" t="str">
        <f>VLOOKUP(Таблица3[[#This Row],[№ п/п]],'Спецификация 25'!$1:$1048576,7,0)</f>
        <v>Раствор для местного применения</v>
      </c>
      <c r="I37" s="51" t="str" cm="1">
        <f t="array" ref="I37">IFERROR(INDEX('Спецификация 25'!$G$2:$G$113,MATCH(Таблица3[[#This Row],[№ п/п]]&amp;Таблица3[[#Headers],[Дозировка]],'Спецификация 25'!$A$2:$A$113&amp;'Спецификация 25'!$F$2:$F$113,0)),"нет")</f>
        <v>0,25 мг/мл</v>
      </c>
      <c r="J37" s="51" t="str" cm="1">
        <f t="array" ref="J37">IFERROR(INDEX('Спецификация 25'!$G$2:$G$113,MATCH(Таблица3[[#This Row],[№ п/п]]&amp;Таблица3[[#Headers],[Первичная упаковка]],'Спецификация 25'!$A$2:$A$113&amp;'Спецификация 25'!$F$2:$F$113,0)),"нет")</f>
        <v>Флаконы</v>
      </c>
      <c r="K37" s="51" t="str" cm="1">
        <f t="array" ref="K37">IFERROR(INDEX('Спецификация 25'!$G$2:$G$113,MATCH(Таблица3[[#This Row],[№ п/п]]&amp;Таблица3[[#Headers],[Описание упаковки]],'Спецификация 25'!$A$2:$A$113&amp;'Спецификация 25'!$F$2:$F$113,0)),"")</f>
        <v>150 мл</v>
      </c>
      <c r="L37" s="51" t="str">
        <f>VLOOKUP(Таблица3[[#This Row],[№ п/п]],'Спецификация 25'!$1:$1048576,8,0)</f>
        <v>мл</v>
      </c>
      <c r="M37" s="67"/>
      <c r="N37" s="68">
        <v>0.1</v>
      </c>
      <c r="O37" s="69">
        <f>Таблица3[[#This Row],[1 Цена за уп с НДС]]-Таблица3[[#This Row],[1 Цена за уп с НДС]]*(1-1/(1+N37))</f>
        <v>0</v>
      </c>
      <c r="P37" s="70">
        <v>150</v>
      </c>
      <c r="Q37" s="70">
        <v>1</v>
      </c>
      <c r="R37" s="73">
        <f>ROUNDDOWN(Таблица3[[#This Row],[1 Цена за уп без НДС]]/Таблица3[[#This Row],[1 Кол-во шт в уп]]/Таблица3[[#This Row],[1 Объем катриджа]],2)</f>
        <v>0</v>
      </c>
      <c r="S37" s="96"/>
      <c r="T37" s="91">
        <v>0.1</v>
      </c>
      <c r="U37" s="92">
        <f>Таблица3[[#This Row],[2 Цена за уп с НДС]]-(Таблица3[[#This Row],[2 Цена за уп с НДС]]*(1-1/(1+T37)))</f>
        <v>0</v>
      </c>
      <c r="V37" s="93">
        <f>Таблица3[[#This Row],[1 Кол-во шт в уп]]</f>
        <v>150</v>
      </c>
      <c r="W37" s="93">
        <f>Таблица3[[#This Row],[1 Объем катриджа]]</f>
        <v>1</v>
      </c>
      <c r="X37" s="97">
        <f>ROUNDDOWN(Таблица3[[#This Row],[2 Цена за уп без НДС и Оптовой над.]]/Таблица3[[#This Row],[2 Кол-во шт в уп]]/Таблица3[[#This Row],[2 Объем катриджа]],2)</f>
        <v>0</v>
      </c>
      <c r="Y37" s="99"/>
      <c r="Z37" s="68">
        <v>0.1</v>
      </c>
      <c r="AA37" s="69">
        <f>Таблица3[[#This Row],[3 Цена за уп с НДС]]-(Таблица3[[#This Row],[3 Цена за уп с НДС]]*(1-1/(1+Z37)))</f>
        <v>0</v>
      </c>
      <c r="AB37" s="70">
        <f>Таблица3[[#This Row],[1 Кол-во шт в уп]]</f>
        <v>150</v>
      </c>
      <c r="AC37" s="70">
        <f>Таблица3[[#This Row],[1 Объем катриджа]]</f>
        <v>1</v>
      </c>
      <c r="AD37" s="103">
        <f>ROUNDDOWN(Таблица3[[#This Row],[3 Цена за уп без НДС и Оптовой над.]]/Таблица3[[#This Row],[3 Кол-во шт в уп]]/Таблица3[[#This Row],[3 Объем катриджа]],2)</f>
        <v>0</v>
      </c>
      <c r="AE37" s="100">
        <f>ROUND(MIN(Таблица3[[#This Row],[1 Цена за единицу без НДС]],Таблица3[[#This Row],[2 Цена за единицу без НДС]],Таблица3[[#This Row],[3 Цена за единицу без НДС]]),2)</f>
        <v>0</v>
      </c>
      <c r="AF37" s="143">
        <f>VLOOKUP(Таблица3[[#This Row],[№ п/п]],'Спецификация 25'!$1:$1048576,10,0)</f>
        <v>0</v>
      </c>
      <c r="AG37" s="109">
        <f>Таблица3[[#This Row],[1 Кол-во шт в уп]]</f>
        <v>150</v>
      </c>
      <c r="AH37" s="109">
        <f>Таблица3[[#This Row],[1 Объем катриджа]]</f>
        <v>1</v>
      </c>
      <c r="AI37" s="110">
        <f>Таблица3[[#This Row],[Кол-во Упак]]*Таблица3[[#This Row],[Объем]]*Таблица3[[#This Row],[Кол-во шт в уп]]</f>
        <v>0</v>
      </c>
      <c r="AJ37" s="169" t="e">
        <f>STDEV(Таблица3[[#This Row],[1 Цена за единицу без НДС]],Таблица3[[#This Row],[2 Цена за единицу без НДС]],Таблица3[[#This Row],[3 Цена за единицу без НДС]])/Таблица3[[#This Row],[Цена за единицу, руб. ]]</f>
        <v>#DIV/0!</v>
      </c>
      <c r="AK37" s="163">
        <f>Таблица3[[#This Row],[Цена за единицу, руб. ]]*Таблица3[[#This Row],[Кол-во ЛП (мл/шт)]]</f>
        <v>0</v>
      </c>
      <c r="AL37" s="144">
        <f>ROUND((Таблица3[[#This Row],[Цена за единицу, руб. ]]+Таблица3[[#This Row],[Цена за единицу, руб. ]]*10%),2)*Таблица3[[#This Row],[Кол-во ЛП (мл/шт)]]</f>
        <v>0</v>
      </c>
      <c r="AM37" s="168"/>
    </row>
    <row r="38" spans="1:40" ht="89.25" x14ac:dyDescent="0.2">
      <c r="A38" s="51">
        <v>31</v>
      </c>
      <c r="B38" s="58">
        <v>26</v>
      </c>
      <c r="C38" s="58"/>
      <c r="D38" s="51" t="s">
        <v>180</v>
      </c>
      <c r="E38" s="58"/>
      <c r="F38" s="51" t="str">
        <f>VLOOKUP(Таблица3[[#This Row],[№ п/п]],'Спецификация 25'!$1:$1048576,2,0)</f>
        <v>Клей БФ-6 10 г</v>
      </c>
      <c r="G38" s="51" t="str">
        <f>VLOOKUP(Таблица3[[#This Row],[№ п/п]],'Спецификация 25'!$1:$1048576,3,0)</f>
        <v>ДИБУТИЛФТАЛАТ+КАНИФОЛЬ+КАСТОРОВОЕ МАСЛО+ПОЛИВИНИЛБУТИРАЛ+ ФЕНОЛФОРМАЛЬДЕГИДНАЯ СМОЛА+ЭТАНОЛ</v>
      </c>
      <c r="H38" s="51" t="str">
        <f>VLOOKUP(Таблица3[[#This Row],[№ п/п]],'Спецификация 25'!$1:$1048576,7,0)</f>
        <v>Раствор для наружного применения спиртовой</v>
      </c>
      <c r="I38" s="51" t="str" cm="1">
        <f t="array" ref="I38">IFERROR(INDEX('Спецификация 25'!$G$2:$G$113,MATCH(Таблица3[[#This Row],[№ п/п]]&amp;Таблица3[[#Headers],[Дозировка]],'Спецификация 25'!$A$2:$A$113&amp;'Спецификация 25'!$F$2:$F$113,0)),"нет")</f>
        <v>нет</v>
      </c>
      <c r="J38" s="51" t="str" cm="1">
        <f t="array" ref="J38">IFERROR(INDEX('Спецификация 25'!$G$2:$G$113,MATCH(Таблица3[[#This Row],[№ п/п]]&amp;Таблица3[[#Headers],[Первичная упаковка]],'Спецификация 25'!$A$2:$A$113&amp;'Спецификация 25'!$F$2:$F$113,0)),"нет")</f>
        <v>Туба</v>
      </c>
      <c r="K38" s="51" t="str" cm="1">
        <f t="array" ref="K38">IFERROR(INDEX('Спецификация 25'!$G$2:$G$113,MATCH(Таблица3[[#This Row],[№ п/п]]&amp;Таблица3[[#Headers],[Описание упаковки]],'Спецификация 25'!$A$2:$A$113&amp;'Спецификация 25'!$F$2:$F$113,0)),"")</f>
        <v>10 г</v>
      </c>
      <c r="L38" s="51" t="str">
        <f>VLOOKUP(Таблица3[[#This Row],[№ п/п]],'Спецификация 25'!$1:$1048576,8,0)</f>
        <v>г</v>
      </c>
      <c r="M38" s="67">
        <v>186</v>
      </c>
      <c r="N38" s="68">
        <v>0.1</v>
      </c>
      <c r="O38" s="69">
        <f>Таблица3[[#This Row],[1 Цена за уп с НДС]]-Таблица3[[#This Row],[1 Цена за уп с НДС]]*(1-1/(1+N38))</f>
        <v>169.09090909090909</v>
      </c>
      <c r="P38" s="70" t="str">
        <f>LEFT(Таблица3[[#This Row],[Описание упаковки]],2)</f>
        <v>10</v>
      </c>
      <c r="Q38" s="70">
        <v>1</v>
      </c>
      <c r="R38" s="73">
        <f>ROUNDDOWN(Таблица3[[#This Row],[1 Цена за уп без НДС]]/Таблица3[[#This Row],[1 Кол-во шт в уп]]/Таблица3[[#This Row],[1 Объем катриджа]],2)</f>
        <v>16.899999999999999</v>
      </c>
      <c r="S38" s="98">
        <v>186</v>
      </c>
      <c r="T38" s="91">
        <v>0.1</v>
      </c>
      <c r="U38" s="92">
        <f>Таблица3[[#This Row],[2 Цена за уп с НДС]]-(Таблица3[[#This Row],[2 Цена за уп с НДС]]*(1-1/(1+T38)))</f>
        <v>169.09090909090909</v>
      </c>
      <c r="V38" s="93" t="str">
        <f>Таблица3[[#This Row],[1 Кол-во шт в уп]]</f>
        <v>10</v>
      </c>
      <c r="W38" s="93">
        <f>Таблица3[[#This Row],[1 Объем катриджа]]</f>
        <v>1</v>
      </c>
      <c r="X38" s="97">
        <f>ROUNDDOWN(Таблица3[[#This Row],[2 Цена за уп без НДС и Оптовой над.]]/Таблица3[[#This Row],[2 Кол-во шт в уп]]/Таблица3[[#This Row],[2 Объем катриджа]],2)</f>
        <v>16.899999999999999</v>
      </c>
      <c r="Y38" s="99">
        <v>186.56</v>
      </c>
      <c r="Z38" s="68">
        <v>0.1</v>
      </c>
      <c r="AA38" s="69">
        <f>Таблица3[[#This Row],[3 Цена за уп с НДС]]-(Таблица3[[#This Row],[3 Цена за уп с НДС]]*(1-1/(1+Z38)))</f>
        <v>169.6</v>
      </c>
      <c r="AB38" s="70" t="str">
        <f>Таблица3[[#This Row],[1 Кол-во шт в уп]]</f>
        <v>10</v>
      </c>
      <c r="AC38" s="70">
        <f>Таблица3[[#This Row],[1 Объем катриджа]]</f>
        <v>1</v>
      </c>
      <c r="AD38" s="103">
        <f>ROUNDDOWN(Таблица3[[#This Row],[3 Цена за уп без НДС и Оптовой над.]]/Таблица3[[#This Row],[3 Кол-во шт в уп]]/Таблица3[[#This Row],[3 Объем катриджа]],2)</f>
        <v>16.96</v>
      </c>
      <c r="AE38" s="100">
        <f>ROUND(MIN(Таблица3[[#This Row],[1 Цена за единицу без НДС]],Таблица3[[#This Row],[2 Цена за единицу без НДС]],Таблица3[[#This Row],[3 Цена за единицу без НДС]]),2)</f>
        <v>16.899999999999999</v>
      </c>
      <c r="AF38" s="143">
        <f>VLOOKUP(Таблица3[[#This Row],[№ п/п]],'Спецификация 25'!$1:$1048576,10,0)</f>
        <v>5</v>
      </c>
      <c r="AG38" s="109" t="str">
        <f>Таблица3[[#This Row],[1 Кол-во шт в уп]]</f>
        <v>10</v>
      </c>
      <c r="AH38" s="109">
        <f>Таблица3[[#This Row],[1 Объем катриджа]]</f>
        <v>1</v>
      </c>
      <c r="AI38" s="110">
        <f>Таблица3[[#This Row],[Кол-во Упак]]*Таблица3[[#This Row],[Объем]]*Таблица3[[#This Row],[Кол-во шт в уп]]</f>
        <v>50</v>
      </c>
      <c r="AJ38" s="169">
        <f>STDEV(Таблица3[[#This Row],[1 Цена за единицу без НДС]],Таблица3[[#This Row],[2 Цена за единицу без НДС]],Таблица3[[#This Row],[3 Цена за единицу без НДС]])/Таблица3[[#This Row],[Цена за единицу, руб. ]]</f>
        <v>2.0497642693123588E-3</v>
      </c>
      <c r="AK38" s="163">
        <f>Таблица3[[#This Row],[Цена за единицу, руб. ]]*Таблица3[[#This Row],[Кол-во ЛП (мл/шт)]]</f>
        <v>844.99999999999989</v>
      </c>
      <c r="AL38" s="144">
        <f>ROUND((Таблица3[[#This Row],[Цена за единицу, руб. ]]+Таблица3[[#This Row],[Цена за единицу, руб. ]]*10%),2)*Таблица3[[#This Row],[Кол-во ЛП (мл/шт)]]</f>
        <v>929.5</v>
      </c>
      <c r="AM38" s="168"/>
      <c r="AN38" s="65"/>
    </row>
    <row r="39" spans="1:40" ht="25.5" x14ac:dyDescent="0.2">
      <c r="A39" s="51">
        <v>32</v>
      </c>
      <c r="B39" s="51">
        <v>27</v>
      </c>
      <c r="C39" s="58"/>
      <c r="D39" s="51" t="s">
        <v>297</v>
      </c>
      <c r="E39" s="253"/>
      <c r="F39" s="51" t="str">
        <f>VLOOKUP(Таблица3[[#This Row],[№ п/п]],'Спецификация 25'!$1:$1048576,2,0)</f>
        <v>Лидокаин 10%</v>
      </c>
      <c r="G39" s="51" t="str">
        <f>VLOOKUP(Таблица3[[#This Row],[№ п/п]],'Спецификация 25'!$1:$1048576,3,0)</f>
        <v>Лидокаин</v>
      </c>
      <c r="H39" s="51" t="str">
        <f>VLOOKUP(Таблица3[[#This Row],[№ п/п]],'Спецификация 25'!$1:$1048576,7,0)</f>
        <v xml:space="preserve"> Спрей для местного и наружного применения дозированный</v>
      </c>
      <c r="I39" s="51" t="str" cm="1">
        <f t="array" ref="I39">IFERROR(INDEX('Спецификация 25'!$G$2:$G$160,MATCH(Таблица3[[#This Row],[№ п/п]]&amp;Таблица3[[#Headers],[Дозировка]],'Спецификация 25'!$A$2:$A$160&amp;'Спецификация 25'!$F$2:$F$160,0)),"нет")</f>
        <v xml:space="preserve"> 4.6 мг/доза (10%)</v>
      </c>
      <c r="J39" s="51" t="str" cm="1">
        <f t="array" ref="J39">IFERROR(INDEX('Спецификация 25'!$G$2:$G$160,MATCH(Таблица3[[#This Row],[№ п/п]]&amp;Таблица3[[#Headers],[Первичная упаковка]],'Спецификация 25'!$A$2:$A$160&amp;'Спецификация 25'!$F$2:$F$160,0)),"нет")</f>
        <v>нет</v>
      </c>
      <c r="K39" s="51" t="str" cm="1">
        <f t="array" ref="K39">IFERROR(INDEX('Спецификация 25'!$G$2:$G$160,MATCH(Таблица3[[#This Row],[№ п/п]]&amp;Таблица3[[#Headers],[Описание упаковки]],'Спецификация 25'!$A$2:$A$160&amp;'Спецификация 25'!$F$2:$F$160,0)),"")</f>
        <v>38 г</v>
      </c>
      <c r="L39" s="51" t="str">
        <f>VLOOKUP(Таблица3[[#This Row],[№ п/п]],'Спецификация 25'!$1:$1048576,8,0)</f>
        <v>г</v>
      </c>
      <c r="M39" s="72">
        <v>328.85</v>
      </c>
      <c r="N39" s="68">
        <v>0.1</v>
      </c>
      <c r="O39" s="69">
        <f>Таблица3[[#This Row],[1 Цена за уп с НДС]]-Таблица3[[#This Row],[1 Цена за уп с НДС]]*(1-1/(1+N39))</f>
        <v>298.95454545454544</v>
      </c>
      <c r="P39" s="254" t="str">
        <f>LEFT(Таблица3[[#This Row],[Описание упаковки]],3)</f>
        <v xml:space="preserve">38 </v>
      </c>
      <c r="Q39" s="256">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39" s="258">
        <f>ROUNDDOWN(Таблица3[[#This Row],[1 Цена за уп без НДС]]/Таблица3[[#This Row],[1 Кол-во шт в уп]]/Таблица3[[#This Row],[1 Объем катриджа]],2)</f>
        <v>7.86</v>
      </c>
      <c r="S39" s="95">
        <v>328.86</v>
      </c>
      <c r="T39" s="91">
        <v>0.1</v>
      </c>
      <c r="U39" s="144">
        <f>Таблица3[[#This Row],[2 Цена за уп с НДС]]-(Таблица3[[#This Row],[2 Цена за уп с НДС]]*(1-1/(1+T39)))</f>
        <v>298.96363636363634</v>
      </c>
      <c r="V39" s="93" t="str">
        <f>Таблица3[[#This Row],[1 Кол-во шт в уп]]</f>
        <v xml:space="preserve">38 </v>
      </c>
      <c r="W39" s="93">
        <f>Таблица3[[#This Row],[1 Объем катриджа]]</f>
        <v>1</v>
      </c>
      <c r="X39" s="294">
        <f>ROUNDDOWN(Таблица3[[#This Row],[2 Цена за уп без НДС и Оптовой над.]]/Таблица3[[#This Row],[2 Кол-во шт в уп]]/Таблица3[[#This Row],[2 Объем катриджа]],2)</f>
        <v>7.86</v>
      </c>
      <c r="Y39" s="259">
        <v>329.85</v>
      </c>
      <c r="Z39" s="68">
        <v>0.1</v>
      </c>
      <c r="AA39" s="295">
        <f>Таблица3[[#This Row],[3 Цена за уп с НДС]]-(Таблица3[[#This Row],[3 Цена за уп с НДС]]*(1-1/(1+Z39)))</f>
        <v>299.86363636363637</v>
      </c>
      <c r="AB39" s="70" t="str">
        <f>Таблица3[[#This Row],[1 Кол-во шт в уп]]</f>
        <v xml:space="preserve">38 </v>
      </c>
      <c r="AC39" s="70">
        <f>Таблица3[[#This Row],[1 Объем катриджа]]</f>
        <v>1</v>
      </c>
      <c r="AD39" s="71">
        <f>ROUNDDOWN(Таблица3[[#This Row],[3 Цена за уп без НДС и Оптовой над.]]/Таблица3[[#This Row],[3 Кол-во шт в уп]]/Таблица3[[#This Row],[3 Объем катриджа]],2)</f>
        <v>7.89</v>
      </c>
      <c r="AE39" s="273">
        <f>ROUND(MIN(Таблица3[[#This Row],[1 Цена за единицу без НДС]],Таблица3[[#This Row],[2 Цена за единицу без НДС]],Таблица3[[#This Row],[3 Цена за единицу без НДС]]),2)</f>
        <v>7.86</v>
      </c>
      <c r="AF39" s="143">
        <f>VLOOKUP(Таблица3[[#This Row],[№ п/п]],'Спецификация 25'!$1:$1048576,10,0)</f>
        <v>6</v>
      </c>
      <c r="AG39" s="109" t="str">
        <f>Таблица3[[#This Row],[1 Кол-во шт в уп]]</f>
        <v xml:space="preserve">38 </v>
      </c>
      <c r="AH39" s="109">
        <f>Таблица3[[#This Row],[1 Объем катриджа]]</f>
        <v>1</v>
      </c>
      <c r="AI39" s="110">
        <f>Таблица3[[#This Row],[Кол-во Упак]]*Таблица3[[#This Row],[Объем]]*Таблица3[[#This Row],[Кол-во шт в уп]]</f>
        <v>228</v>
      </c>
      <c r="AJ39" s="169">
        <f>STDEV(Таблица3[[#This Row],[1 Цена за единицу без НДС]],Таблица3[[#This Row],[2 Цена за единицу без НДС]],Таблица3[[#This Row],[3 Цена за единицу без НДС]])/Таблица3[[#This Row],[Цена за единицу, руб. ]]</f>
        <v>2.2036269816397462E-3</v>
      </c>
      <c r="AK39" s="163">
        <f>Таблица3[[#This Row],[Цена за единицу, руб. ]]*Таблица3[[#This Row],[Кол-во ЛП (мл/шт)]]</f>
        <v>1792.0800000000002</v>
      </c>
      <c r="AL39" s="144">
        <f>ROUND((Таблица3[[#This Row],[Цена за единицу, руб. ]]+Таблица3[[#This Row],[Цена за единицу, руб. ]]*10%),2)*Таблица3[[#This Row],[Кол-во ЛП (мл/шт)]]</f>
        <v>1972.2</v>
      </c>
      <c r="AN39" s="162"/>
    </row>
    <row r="40" spans="1:40" ht="25.5" x14ac:dyDescent="0.2">
      <c r="A40" s="51">
        <v>33</v>
      </c>
      <c r="B40" s="51">
        <v>28</v>
      </c>
      <c r="C40" s="58"/>
      <c r="D40" s="51" t="s">
        <v>297</v>
      </c>
      <c r="E40" s="253"/>
      <c r="F40" s="51" t="str">
        <f>VLOOKUP(Таблица3[[#This Row],[№ п/п]],'Спецификация 25'!$1:$1048576,2,0)</f>
        <v>Трихопол 250 мг № 20</v>
      </c>
      <c r="G40" s="51" t="str">
        <f>VLOOKUP(Таблица3[[#This Row],[№ п/п]],'Спецификация 25'!$1:$1048576,3,0)</f>
        <v>МЕТРОНИДАЗОЛ</v>
      </c>
      <c r="H40" s="51" t="str">
        <f>VLOOKUP(Таблица3[[#This Row],[№ п/п]],'Спецификация 25'!$1:$1048576,7,0)</f>
        <v xml:space="preserve"> Таблетки</v>
      </c>
      <c r="I40" s="51" t="str" cm="1">
        <f t="array" ref="I40">IFERROR(INDEX('Спецификация 25'!$G$2:$G$160,MATCH(Таблица3[[#This Row],[№ п/п]]&amp;Таблица3[[#Headers],[Дозировка]],'Спецификация 25'!$A$2:$A$160&amp;'Спецификация 25'!$F$2:$F$160,0)),"нет")</f>
        <v xml:space="preserve"> 250 мг</v>
      </c>
      <c r="J40" s="51" t="str" cm="1">
        <f t="array" ref="J40">IFERROR(INDEX('Спецификация 25'!$G$2:$G$160,MATCH(Таблица3[[#This Row],[№ п/п]]&amp;Таблица3[[#Headers],[Первичная упаковка]],'Спецификация 25'!$A$2:$A$160&amp;'Спецификация 25'!$F$2:$F$160,0)),"нет")</f>
        <v>нет</v>
      </c>
      <c r="K40" s="51" t="str" cm="1">
        <f t="array" ref="K40">IFERROR(INDEX('Спецификация 25'!$G$2:$G$160,MATCH(Таблица3[[#This Row],[№ п/п]]&amp;Таблица3[[#Headers],[Описание упаковки]],'Спецификация 25'!$A$2:$A$160&amp;'Спецификация 25'!$F$2:$F$160,0)),"")</f>
        <v>20 шт.</v>
      </c>
      <c r="L40" s="51" t="str">
        <f>VLOOKUP(Таблица3[[#This Row],[№ п/п]],'Спецификация 25'!$1:$1048576,8,0)</f>
        <v>шт</v>
      </c>
      <c r="M40" s="72">
        <v>89.73</v>
      </c>
      <c r="N40" s="68">
        <v>0.1</v>
      </c>
      <c r="O40" s="69">
        <f>Таблица3[[#This Row],[1 Цена за уп с НДС]]-Таблица3[[#This Row],[1 Цена за уп с НДС]]*(1-1/(1+N40))</f>
        <v>81.572727272727278</v>
      </c>
      <c r="P40" s="255" t="str">
        <f>LEFT(Таблица3[[#This Row],[Описание упаковки]],2)</f>
        <v>20</v>
      </c>
      <c r="Q40"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0" s="74">
        <f>ROUNDDOWN(Таблица3[[#This Row],[1 Цена за уп без НДС]]/Таблица3[[#This Row],[1 Кол-во шт в уп]]/Таблица3[[#This Row],[1 Объем катриджа]],2)</f>
        <v>4.07</v>
      </c>
      <c r="S40" s="95">
        <v>89.74</v>
      </c>
      <c r="T40" s="91">
        <v>0.1</v>
      </c>
      <c r="U40" s="144">
        <f>Таблица3[[#This Row],[2 Цена за уп с НДС]]-(Таблица3[[#This Row],[2 Цена за уп с НДС]]*(1-1/(1+T40)))</f>
        <v>81.581818181818178</v>
      </c>
      <c r="V40" s="93" t="str">
        <f>Таблица3[[#This Row],[1 Кол-во шт в уп]]</f>
        <v>20</v>
      </c>
      <c r="W40" s="93">
        <f>Таблица3[[#This Row],[1 Объем катриджа]]</f>
        <v>1</v>
      </c>
      <c r="X40" s="296">
        <f>ROUNDDOWN(Таблица3[[#This Row],[2 Цена за уп без НДС и Оптовой над.]]/Таблица3[[#This Row],[2 Кол-во шт в уп]]/Таблица3[[#This Row],[2 Объем катриджа]],2)</f>
        <v>4.07</v>
      </c>
      <c r="Y40" s="74">
        <v>90.01</v>
      </c>
      <c r="Z40" s="68">
        <v>0.1</v>
      </c>
      <c r="AA40" s="297">
        <f>Таблица3[[#This Row],[3 Цена за уп с НДС]]-(Таблица3[[#This Row],[3 Цена за уп с НДС]]*(1-1/(1+Z40)))</f>
        <v>81.827272727272728</v>
      </c>
      <c r="AB40" s="70" t="str">
        <f>Таблица3[[#This Row],[1 Кол-во шт в уп]]</f>
        <v>20</v>
      </c>
      <c r="AC40" s="70">
        <f>Таблица3[[#This Row],[1 Объем катриджа]]</f>
        <v>1</v>
      </c>
      <c r="AD40" s="71">
        <f>ROUNDDOWN(Таблица3[[#This Row],[3 Цена за уп без НДС и Оптовой над.]]/Таблица3[[#This Row],[3 Кол-во шт в уп]]/Таблица3[[#This Row],[3 Объем катриджа]],2)</f>
        <v>4.09</v>
      </c>
      <c r="AE40" s="260">
        <f>ROUND(MIN(Таблица3[[#This Row],[1 Цена за единицу без НДС]],Таблица3[[#This Row],[2 Цена за единицу без НДС]],Таблица3[[#This Row],[3 Цена за единицу без НДС]]),2)</f>
        <v>4.07</v>
      </c>
      <c r="AF40" s="143">
        <f>VLOOKUP(Таблица3[[#This Row],[№ п/п]],'Спецификация 25'!$1:$1048576,10,0)</f>
        <v>3</v>
      </c>
      <c r="AG40" s="109" t="str">
        <f>Таблица3[[#This Row],[1 Кол-во шт в уп]]</f>
        <v>20</v>
      </c>
      <c r="AH40" s="109">
        <f>Таблица3[[#This Row],[1 Объем катриджа]]</f>
        <v>1</v>
      </c>
      <c r="AI40" s="110">
        <f>Таблица3[[#This Row],[Кол-во Упак]]*Таблица3[[#This Row],[Объем]]*Таблица3[[#This Row],[Кол-во шт в уп]]</f>
        <v>60</v>
      </c>
      <c r="AJ40" s="169">
        <f>STDEV(Таблица3[[#This Row],[1 Цена за единицу без НДС]],Таблица3[[#This Row],[2 Цена за единицу без НДС]],Таблица3[[#This Row],[3 Цена за единицу без НДС]])/Таблица3[[#This Row],[Цена за единицу, руб. ]]</f>
        <v>2.8371020598998205E-3</v>
      </c>
      <c r="AK40" s="163">
        <f>Таблица3[[#This Row],[Цена за единицу, руб. ]]*Таблица3[[#This Row],[Кол-во ЛП (мл/шт)]]</f>
        <v>244.20000000000002</v>
      </c>
      <c r="AL40" s="144">
        <f>ROUND((Таблица3[[#This Row],[Цена за единицу, руб. ]]+Таблица3[[#This Row],[Цена за единицу, руб. ]]*10%),2)*Таблица3[[#This Row],[Кол-во ЛП (мл/шт)]]</f>
        <v>268.8</v>
      </c>
    </row>
    <row r="41" spans="1:40" ht="25.5" x14ac:dyDescent="0.2">
      <c r="A41" s="51">
        <v>34</v>
      </c>
      <c r="B41" s="51">
        <v>29</v>
      </c>
      <c r="C41" s="58"/>
      <c r="D41" s="51" t="s">
        <v>180</v>
      </c>
      <c r="E41" s="253"/>
      <c r="F41" s="51" t="str">
        <f>VLOOKUP(Таблица3[[#This Row],[№ п/п]],'Спецификация 25'!$1:$1048576,2,0)</f>
        <v>Тетрациклин 100 мг № 20</v>
      </c>
      <c r="G41" s="51" t="str">
        <f>VLOOKUP(Таблица3[[#This Row],[№ п/п]],'Спецификация 25'!$1:$1048576,3,0)</f>
        <v>ТЕТРАЦИКЛИН</v>
      </c>
      <c r="H41" s="51" t="str">
        <f>VLOOKUP(Таблица3[[#This Row],[№ п/п]],'Спецификация 25'!$1:$1048576,7,0)</f>
        <v xml:space="preserve"> Таблетки, покрытые оболочкой</v>
      </c>
      <c r="I41" s="51" t="str" cm="1">
        <f t="array" ref="I41">IFERROR(INDEX('Спецификация 25'!$G$2:$G$160,MATCH(Таблица3[[#This Row],[№ п/п]]&amp;Таблица3[[#Headers],[Дозировка]],'Спецификация 25'!$A$2:$A$160&amp;'Спецификация 25'!$F$2:$F$160,0)),"нет")</f>
        <v xml:space="preserve"> 100 мг</v>
      </c>
      <c r="J41" s="51" t="str" cm="1">
        <f t="array" ref="J41">IFERROR(INDEX('Спецификация 25'!$G$2:$G$160,MATCH(Таблица3[[#This Row],[№ п/п]]&amp;Таблица3[[#Headers],[Первичная упаковка]],'Спецификация 25'!$A$2:$A$160&amp;'Спецификация 25'!$F$2:$F$160,0)),"нет")</f>
        <v>нет</v>
      </c>
      <c r="K41" s="51" t="str" cm="1">
        <f t="array" ref="K41">IFERROR(INDEX('Спецификация 25'!$G$2:$G$160,MATCH(Таблица3[[#This Row],[№ п/п]]&amp;Таблица3[[#Headers],[Описание упаковки]],'Спецификация 25'!$A$2:$A$160&amp;'Спецификация 25'!$F$2:$F$160,0)),"")</f>
        <v>20 шт.</v>
      </c>
      <c r="L41" s="51" t="str">
        <f>VLOOKUP(Таблица3[[#This Row],[№ п/п]],'Спецификация 25'!$1:$1048576,8,0)</f>
        <v>шт</v>
      </c>
      <c r="M41" s="72">
        <v>154</v>
      </c>
      <c r="N41" s="68">
        <v>0.1</v>
      </c>
      <c r="O41" s="69">
        <f>Таблица3[[#This Row],[1 Цена за уп с НДС]]-Таблица3[[#This Row],[1 Цена за уп с НДС]]*(1-1/(1+N41))</f>
        <v>140</v>
      </c>
      <c r="P41" s="255" t="str">
        <f>LEFT(Таблица3[[#This Row],[Описание упаковки]],2)</f>
        <v>20</v>
      </c>
      <c r="Q41"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1" s="74">
        <f>ROUNDDOWN(Таблица3[[#This Row],[1 Цена за уп без НДС]]/Таблица3[[#This Row],[1 Кол-во шт в уп]]/Таблица3[[#This Row],[1 Объем катриджа]],2)</f>
        <v>7</v>
      </c>
      <c r="S41" s="95">
        <v>155</v>
      </c>
      <c r="T41" s="91">
        <v>0.1</v>
      </c>
      <c r="U41" s="144">
        <f>Таблица3[[#This Row],[2 Цена за уп с НДС]]-(Таблица3[[#This Row],[2 Цена за уп с НДС]]*(1-1/(1+T41)))</f>
        <v>140.90909090909091</v>
      </c>
      <c r="V41" s="93" t="str">
        <f>Таблица3[[#This Row],[1 Кол-во шт в уп]]</f>
        <v>20</v>
      </c>
      <c r="W41" s="93">
        <f>Таблица3[[#This Row],[1 Объем катриджа]]</f>
        <v>1</v>
      </c>
      <c r="X41" s="296">
        <f>ROUNDDOWN(Таблица3[[#This Row],[2 Цена за уп без НДС и Оптовой над.]]/Таблица3[[#This Row],[2 Кол-во шт в уп]]/Таблица3[[#This Row],[2 Объем катриджа]],2)</f>
        <v>7.04</v>
      </c>
      <c r="Y41" s="74">
        <v>155.47</v>
      </c>
      <c r="Z41" s="68">
        <v>0.1</v>
      </c>
      <c r="AA41" s="297">
        <f>Таблица3[[#This Row],[3 Цена за уп с НДС]]-(Таблица3[[#This Row],[3 Цена за уп с НДС]]*(1-1/(1+Z41)))</f>
        <v>141.33636363636364</v>
      </c>
      <c r="AB41" s="70" t="str">
        <f>Таблица3[[#This Row],[1 Кол-во шт в уп]]</f>
        <v>20</v>
      </c>
      <c r="AC41" s="70">
        <f>Таблица3[[#This Row],[1 Объем катриджа]]</f>
        <v>1</v>
      </c>
      <c r="AD41" s="71">
        <f>ROUNDDOWN(Таблица3[[#This Row],[3 Цена за уп без НДС и Оптовой над.]]/Таблица3[[#This Row],[3 Кол-во шт в уп]]/Таблица3[[#This Row],[3 Объем катриджа]],2)</f>
        <v>7.06</v>
      </c>
      <c r="AE41" s="260">
        <f>ROUND(MIN(Таблица3[[#This Row],[1 Цена за единицу без НДС]],Таблица3[[#This Row],[2 Цена за единицу без НДС]],Таблица3[[#This Row],[3 Цена за единицу без НДС]]),2)</f>
        <v>7</v>
      </c>
      <c r="AF41" s="143">
        <f>VLOOKUP(Таблица3[[#This Row],[№ п/п]],'Спецификация 25'!$1:$1048576,10,0)</f>
        <v>3</v>
      </c>
      <c r="AG41" s="109" t="str">
        <f>Таблица3[[#This Row],[1 Кол-во шт в уп]]</f>
        <v>20</v>
      </c>
      <c r="AH41" s="109">
        <f>Таблица3[[#This Row],[1 Объем катриджа]]</f>
        <v>1</v>
      </c>
      <c r="AI41" s="110">
        <f>Таблица3[[#This Row],[Кол-во Упак]]*Таблица3[[#This Row],[Объем]]*Таблица3[[#This Row],[Кол-во шт в уп]]</f>
        <v>60</v>
      </c>
      <c r="AJ41" s="169">
        <f>STDEV(Таблица3[[#This Row],[1 Цена за единицу без НДС]],Таблица3[[#This Row],[2 Цена за единицу без НДС]],Таблица3[[#This Row],[3 Цена за единицу без НДС]])/Таблица3[[#This Row],[Цена за единицу, руб. ]]</f>
        <v>4.3643578047198239E-3</v>
      </c>
      <c r="AK41" s="163">
        <f>Таблица3[[#This Row],[Цена за единицу, руб. ]]*Таблица3[[#This Row],[Кол-во ЛП (мл/шт)]]</f>
        <v>420</v>
      </c>
      <c r="AL41" s="144">
        <f>ROUND((Таблица3[[#This Row],[Цена за единицу, руб. ]]+Таблица3[[#This Row],[Цена за единицу, руб. ]]*10%),2)*Таблица3[[#This Row],[Кол-во ЛП (мл/шт)]]</f>
        <v>462</v>
      </c>
    </row>
    <row r="42" spans="1:40" ht="25.5" x14ac:dyDescent="0.2">
      <c r="A42" s="51">
        <v>35</v>
      </c>
      <c r="B42" s="51">
        <v>30</v>
      </c>
      <c r="C42" s="58"/>
      <c r="D42" s="51" t="s">
        <v>297</v>
      </c>
      <c r="E42" s="253"/>
      <c r="F42" s="51" t="str">
        <f>VLOOKUP(Таблица3[[#This Row],[№ п/п]],'Спецификация 25'!$1:$1048576,2,0)</f>
        <v>Метронидазол 5 мг/мл 100 мл</v>
      </c>
      <c r="G42" s="51" t="str">
        <f>VLOOKUP(Таблица3[[#This Row],[№ п/п]],'Спецификация 25'!$1:$1048576,3,0)</f>
        <v>Метронидазол</v>
      </c>
      <c r="H42" s="51" t="str">
        <f>VLOOKUP(Таблица3[[#This Row],[№ п/п]],'Спецификация 25'!$1:$1048576,7,0)</f>
        <v xml:space="preserve"> Раствор для инфузий</v>
      </c>
      <c r="I42" s="51" t="str" cm="1">
        <f t="array" ref="I42">IFERROR(INDEX('Спецификация 25'!$G$2:$G$160,MATCH(Таблица3[[#This Row],[№ п/п]]&amp;Таблица3[[#Headers],[Дозировка]],'Спецификация 25'!$A$2:$A$160&amp;'Спецификация 25'!$F$2:$F$160,0)),"нет")</f>
        <v>5 мг/мл</v>
      </c>
      <c r="J42" s="51" t="str" cm="1">
        <f t="array" ref="J42">IFERROR(INDEX('Спецификация 25'!$G$2:$G$160,MATCH(Таблица3[[#This Row],[№ п/п]]&amp;Таблица3[[#Headers],[Первичная упаковка]],'Спецификация 25'!$A$2:$A$160&amp;'Спецификация 25'!$F$2:$F$160,0)),"нет")</f>
        <v xml:space="preserve"> Бутыль</v>
      </c>
      <c r="K42" s="51" t="str" cm="1">
        <f t="array" ref="K42">IFERROR(INDEX('Спецификация 25'!$G$2:$G$160,MATCH(Таблица3[[#This Row],[№ п/п]]&amp;Таблица3[[#Headers],[Описание упаковки]],'Спецификация 25'!$A$2:$A$160&amp;'Спецификация 25'!$F$2:$F$160,0)),"")</f>
        <v>100 мл</v>
      </c>
      <c r="L42" s="51" t="str">
        <f>VLOOKUP(Таблица3[[#This Row],[№ п/п]],'Спецификация 25'!$1:$1048576,8,0)</f>
        <v>мл</v>
      </c>
      <c r="M42" s="72">
        <v>34.619999999999997</v>
      </c>
      <c r="N42" s="68">
        <v>0.1</v>
      </c>
      <c r="O42" s="69">
        <f>Таблица3[[#This Row],[1 Цена за уп с НДС]]-Таблица3[[#This Row],[1 Цена за уп с НДС]]*(1-1/(1+N42))</f>
        <v>31.472727272727269</v>
      </c>
      <c r="P42" s="255" t="str">
        <f>LEFT(Таблица3[[#This Row],[Описание упаковки]],3)</f>
        <v>100</v>
      </c>
      <c r="Q42"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2" s="74">
        <f>ROUNDDOWN(Таблица3[[#This Row],[1 Цена за уп без НДС]]/Таблица3[[#This Row],[1 Кол-во шт в уп]]/Таблица3[[#This Row],[1 Объем катриджа]],2)</f>
        <v>0.31</v>
      </c>
      <c r="S42" s="95">
        <v>34.630000000000003</v>
      </c>
      <c r="T42" s="91">
        <v>0.1</v>
      </c>
      <c r="U42" s="144">
        <f>Таблица3[[#This Row],[2 Цена за уп с НДС]]-(Таблица3[[#This Row],[2 Цена за уп с НДС]]*(1-1/(1+T42)))</f>
        <v>31.481818181818184</v>
      </c>
      <c r="V42" s="93" t="str">
        <f>Таблица3[[#This Row],[1 Кол-во шт в уп]]</f>
        <v>100</v>
      </c>
      <c r="W42" s="93">
        <f>Таблица3[[#This Row],[1 Объем катриджа]]</f>
        <v>1</v>
      </c>
      <c r="X42" s="296">
        <f>ROUNDDOWN(Таблица3[[#This Row],[2 Цена за уп без НДС и Оптовой над.]]/Таблица3[[#This Row],[2 Кол-во шт в уп]]/Таблица3[[#This Row],[2 Объем катриджа]],2)</f>
        <v>0.31</v>
      </c>
      <c r="Y42" s="74">
        <v>34.729999999999997</v>
      </c>
      <c r="Z42" s="68">
        <v>0.1</v>
      </c>
      <c r="AA42" s="297">
        <f>Таблица3[[#This Row],[3 Цена за уп с НДС]]-(Таблица3[[#This Row],[3 Цена за уп с НДС]]*(1-1/(1+Z42)))</f>
        <v>31.572727272727271</v>
      </c>
      <c r="AB42" s="70" t="str">
        <f>Таблица3[[#This Row],[1 Кол-во шт в уп]]</f>
        <v>100</v>
      </c>
      <c r="AC42" s="70">
        <f>Таблица3[[#This Row],[1 Объем катриджа]]</f>
        <v>1</v>
      </c>
      <c r="AD42" s="71">
        <f>ROUNDDOWN(Таблица3[[#This Row],[3 Цена за уп без НДС и Оптовой над.]]/Таблица3[[#This Row],[3 Кол-во шт в уп]]/Таблица3[[#This Row],[3 Объем катриджа]],2)</f>
        <v>0.31</v>
      </c>
      <c r="AE42" s="260">
        <f>ROUND(MIN(Таблица3[[#This Row],[1 Цена за единицу без НДС]],Таблица3[[#This Row],[2 Цена за единицу без НДС]],Таблица3[[#This Row],[3 Цена за единицу без НДС]]),2)</f>
        <v>0.31</v>
      </c>
      <c r="AF42" s="143">
        <f>VLOOKUP(Таблица3[[#This Row],[№ п/п]],'Спецификация 25'!$1:$1048576,10,0)</f>
        <v>5</v>
      </c>
      <c r="AG42" s="109" t="str">
        <f>Таблица3[[#This Row],[1 Кол-во шт в уп]]</f>
        <v>100</v>
      </c>
      <c r="AH42" s="109">
        <f>Таблица3[[#This Row],[1 Объем катриджа]]</f>
        <v>1</v>
      </c>
      <c r="AI42" s="110">
        <f>Таблица3[[#This Row],[Кол-во Упак]]*Таблица3[[#This Row],[Объем]]*Таблица3[[#This Row],[Кол-во шт в уп]]</f>
        <v>500</v>
      </c>
      <c r="AJ42" s="169">
        <f>STDEV(Таблица3[[#This Row],[1 Цена за единицу без НДС]],Таблица3[[#This Row],[2 Цена за единицу без НДС]],Таблица3[[#This Row],[3 Цена за единицу без НДС]])/Таблица3[[#This Row],[Цена за единицу, руб. ]]</f>
        <v>0</v>
      </c>
      <c r="AK42" s="163">
        <f>Таблица3[[#This Row],[Цена за единицу, руб. ]]*Таблица3[[#This Row],[Кол-во ЛП (мл/шт)]]</f>
        <v>155</v>
      </c>
      <c r="AL42" s="144">
        <f>ROUND((Таблица3[[#This Row],[Цена за единицу, руб. ]]+Таблица3[[#This Row],[Цена за единицу, руб. ]]*10%),2)*Таблица3[[#This Row],[Кол-во ЛП (мл/шт)]]</f>
        <v>170</v>
      </c>
    </row>
    <row r="43" spans="1:40" ht="25.5" x14ac:dyDescent="0.2">
      <c r="A43" s="51">
        <v>36</v>
      </c>
      <c r="B43" s="51">
        <v>31</v>
      </c>
      <c r="C43" s="58"/>
      <c r="D43" s="51" t="s">
        <v>180</v>
      </c>
      <c r="E43" s="253"/>
      <c r="F43" s="51" t="str">
        <f>VLOOKUP(Таблица3[[#This Row],[№ п/п]],'Спецификация 25'!$1:$1048576,2,0)</f>
        <v>Метилурацил 10% 25</v>
      </c>
      <c r="G43" s="51" t="str">
        <f>VLOOKUP(Таблица3[[#This Row],[№ п/п]],'Спецификация 25'!$1:$1048576,3,0)</f>
        <v>ДИОКСОМЕТИЛТЕТРАГИДРОПИРИМИДИН</v>
      </c>
      <c r="H43" s="51" t="str">
        <f>VLOOKUP(Таблица3[[#This Row],[№ п/п]],'Спецификация 25'!$1:$1048576,7,0)</f>
        <v xml:space="preserve"> Мазь для наружного применения</v>
      </c>
      <c r="I43" s="51" t="str" cm="1">
        <f t="array" ref="I43">IFERROR(INDEX('Спецификация 25'!$G$2:$G$160,MATCH(Таблица3[[#This Row],[№ п/п]]&amp;Таблица3[[#Headers],[Дозировка]],'Спецификация 25'!$A$2:$A$160&amp;'Спецификация 25'!$F$2:$F$160,0)),"нет")</f>
        <v>нет</v>
      </c>
      <c r="J43" s="51" t="str" cm="1">
        <f t="array" ref="J43">IFERROR(INDEX('Спецификация 25'!$G$2:$G$160,MATCH(Таблица3[[#This Row],[№ п/п]]&amp;Таблица3[[#Headers],[Первичная упаковка]],'Спецификация 25'!$A$2:$A$160&amp;'Спецификация 25'!$F$2:$F$160,0)),"нет")</f>
        <v xml:space="preserve"> Туба</v>
      </c>
      <c r="K43" s="51" t="str" cm="1">
        <f t="array" ref="K43">IFERROR(INDEX('Спецификация 25'!$G$2:$G$160,MATCH(Таблица3[[#This Row],[№ п/п]]&amp;Таблица3[[#Headers],[Описание упаковки]],'Спецификация 25'!$A$2:$A$160&amp;'Спецификация 25'!$F$2:$F$160,0)),"")</f>
        <v>25 мл</v>
      </c>
      <c r="L43" s="51" t="str">
        <f>VLOOKUP(Таблица3[[#This Row],[№ п/п]],'Спецификация 25'!$1:$1048576,8,0)</f>
        <v>мл</v>
      </c>
      <c r="M43" s="72">
        <v>84</v>
      </c>
      <c r="N43" s="68">
        <v>0.1</v>
      </c>
      <c r="O43" s="69">
        <f>Таблица3[[#This Row],[1 Цена за уп с НДС]]-Таблица3[[#This Row],[1 Цена за уп с НДС]]*(1-1/(1+N43))</f>
        <v>76.36363636363636</v>
      </c>
      <c r="P43" s="255" t="str">
        <f>LEFT(Таблица3[[#This Row],[Описание упаковки]],2)</f>
        <v>25</v>
      </c>
      <c r="Q43"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3" s="74">
        <f>ROUNDDOWN(Таблица3[[#This Row],[1 Цена за уп без НДС]]/Таблица3[[#This Row],[1 Кол-во шт в уп]]/Таблица3[[#This Row],[1 Объем катриджа]],2)</f>
        <v>3.05</v>
      </c>
      <c r="S43" s="95">
        <v>85</v>
      </c>
      <c r="T43" s="91">
        <v>0.1</v>
      </c>
      <c r="U43" s="144">
        <f>Таблица3[[#This Row],[2 Цена за уп с НДС]]-(Таблица3[[#This Row],[2 Цена за уп с НДС]]*(1-1/(1+T43)))</f>
        <v>77.272727272727266</v>
      </c>
      <c r="V43" s="93" t="str">
        <f>Таблица3[[#This Row],[1 Кол-во шт в уп]]</f>
        <v>25</v>
      </c>
      <c r="W43" s="93">
        <f>Таблица3[[#This Row],[1 Объем катриджа]]</f>
        <v>1</v>
      </c>
      <c r="X43" s="296">
        <f>ROUNDDOWN(Таблица3[[#This Row],[2 Цена за уп без НДС и Оптовой над.]]/Таблица3[[#This Row],[2 Кол-во шт в уп]]/Таблица3[[#This Row],[2 Объем катриджа]],2)</f>
        <v>3.09</v>
      </c>
      <c r="Y43" s="74">
        <v>85.25</v>
      </c>
      <c r="Z43" s="68">
        <v>0.1</v>
      </c>
      <c r="AA43" s="297">
        <f>Таблица3[[#This Row],[3 Цена за уп с НДС]]-(Таблица3[[#This Row],[3 Цена за уп с НДС]]*(1-1/(1+Z43)))</f>
        <v>77.5</v>
      </c>
      <c r="AB43" s="70" t="str">
        <f>Таблица3[[#This Row],[1 Кол-во шт в уп]]</f>
        <v>25</v>
      </c>
      <c r="AC43" s="70">
        <f>Таблица3[[#This Row],[1 Объем катриджа]]</f>
        <v>1</v>
      </c>
      <c r="AD43" s="71">
        <f>ROUNDDOWN(Таблица3[[#This Row],[3 Цена за уп без НДС и Оптовой над.]]/Таблица3[[#This Row],[3 Кол-во шт в уп]]/Таблица3[[#This Row],[3 Объем катриджа]],2)</f>
        <v>3.1</v>
      </c>
      <c r="AE43" s="260">
        <f>ROUND(MIN(Таблица3[[#This Row],[1 Цена за единицу без НДС]],Таблица3[[#This Row],[2 Цена за единицу без НДС]],Таблица3[[#This Row],[3 Цена за единицу без НДС]]),2)</f>
        <v>3.05</v>
      </c>
      <c r="AF43" s="143">
        <f>VLOOKUP(Таблица3[[#This Row],[№ п/п]],'Спецификация 25'!$1:$1048576,10,0)</f>
        <v>3</v>
      </c>
      <c r="AG43" s="109" t="str">
        <f>Таблица3[[#This Row],[1 Кол-во шт в уп]]</f>
        <v>25</v>
      </c>
      <c r="AH43" s="109">
        <f>Таблица3[[#This Row],[1 Объем катриджа]]</f>
        <v>1</v>
      </c>
      <c r="AI43" s="110">
        <f>Таблица3[[#This Row],[Кол-во Упак]]*Таблица3[[#This Row],[Объем]]*Таблица3[[#This Row],[Кол-во шт в уп]]</f>
        <v>75</v>
      </c>
      <c r="AJ43" s="169">
        <f>STDEV(Таблица3[[#This Row],[1 Цена за единицу без НДС]],Таблица3[[#This Row],[2 Цена за единицу без НДС]],Таблица3[[#This Row],[3 Цена за единицу без НДС]])/Таблица3[[#This Row],[Цена за единицу, руб. ]]</f>
        <v>8.6745944625068912E-3</v>
      </c>
      <c r="AK43" s="163">
        <f>Таблица3[[#This Row],[Цена за единицу, руб. ]]*Таблица3[[#This Row],[Кол-во ЛП (мл/шт)]]</f>
        <v>228.75</v>
      </c>
      <c r="AL43" s="144">
        <f>ROUND((Таблица3[[#This Row],[Цена за единицу, руб. ]]+Таблица3[[#This Row],[Цена за единицу, руб. ]]*10%),2)*Таблица3[[#This Row],[Кол-во ЛП (мл/шт)]]</f>
        <v>252</v>
      </c>
    </row>
    <row r="44" spans="1:40" ht="25.5" x14ac:dyDescent="0.2">
      <c r="A44" s="51">
        <v>37</v>
      </c>
      <c r="B44" s="51">
        <v>32</v>
      </c>
      <c r="C44" s="58"/>
      <c r="D44" s="51" t="s">
        <v>180</v>
      </c>
      <c r="E44" s="253"/>
      <c r="F44" s="51" t="str">
        <f>VLOOKUP(Таблица3[[#This Row],[№ п/п]],'Спецификация 25'!$1:$1048576,2,0)</f>
        <v>Хлорофиллипт 2% 20 мл</v>
      </c>
      <c r="G44" s="51" t="str">
        <f>VLOOKUP(Таблица3[[#This Row],[№ п/п]],'Спецификация 25'!$1:$1048576,3,0)</f>
        <v>ЭВКАЛИПТА ЛИСТЬЕВ ЭКСТРАКТ</v>
      </c>
      <c r="H44" s="51" t="str">
        <f>VLOOKUP(Таблица3[[#This Row],[№ п/п]],'Спецификация 25'!$1:$1048576,7,0)</f>
        <v xml:space="preserve"> Раствор для местного и наружного применения</v>
      </c>
      <c r="I44" s="51" t="str" cm="1">
        <f t="array" ref="I44">IFERROR(INDEX('Спецификация 25'!$G$2:$G$160,MATCH(Таблица3[[#This Row],[№ п/п]]&amp;Таблица3[[#Headers],[Дозировка]],'Спецификация 25'!$A$2:$A$160&amp;'Спецификация 25'!$F$2:$F$160,0)),"нет")</f>
        <v>20 мг/мл</v>
      </c>
      <c r="J44" s="51" t="str" cm="1">
        <f t="array" ref="J44">IFERROR(INDEX('Спецификация 25'!$G$2:$G$160,MATCH(Таблица3[[#This Row],[№ п/п]]&amp;Таблица3[[#Headers],[Первичная упаковка]],'Спецификация 25'!$A$2:$A$160&amp;'Спецификация 25'!$F$2:$F$160,0)),"нет")</f>
        <v xml:space="preserve"> Флакон</v>
      </c>
      <c r="K44" s="51" t="str" cm="1">
        <f t="array" ref="K44">IFERROR(INDEX('Спецификация 25'!$G$2:$G$160,MATCH(Таблица3[[#This Row],[№ п/п]]&amp;Таблица3[[#Headers],[Описание упаковки]],'Спецификация 25'!$A$2:$A$160&amp;'Спецификация 25'!$F$2:$F$160,0)),"")</f>
        <v>20 мл</v>
      </c>
      <c r="L44" s="51" t="str">
        <f>VLOOKUP(Таблица3[[#This Row],[№ п/п]],'Спецификация 25'!$1:$1048576,8,0)</f>
        <v>мл</v>
      </c>
      <c r="M44" s="72">
        <v>435</v>
      </c>
      <c r="N44" s="68">
        <v>0.1</v>
      </c>
      <c r="O44" s="69">
        <f>Таблица3[[#This Row],[1 Цена за уп с НДС]]-Таблица3[[#This Row],[1 Цена за уп с НДС]]*(1-1/(1+N44))</f>
        <v>395.45454545454544</v>
      </c>
      <c r="P44" s="255" t="str">
        <f>LEFT(Таблица3[[#This Row],[Описание упаковки]],2)</f>
        <v>20</v>
      </c>
      <c r="Q44"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4" s="74">
        <f>ROUNDDOWN(Таблица3[[#This Row],[1 Цена за уп без НДС]]/Таблица3[[#This Row],[1 Кол-во шт в уп]]/Таблица3[[#This Row],[1 Объем катриджа]],2)</f>
        <v>19.77</v>
      </c>
      <c r="S44" s="95">
        <v>436</v>
      </c>
      <c r="T44" s="91">
        <v>0.1</v>
      </c>
      <c r="U44" s="144">
        <f>Таблица3[[#This Row],[2 Цена за уп с НДС]]-(Таблица3[[#This Row],[2 Цена за уп с НДС]]*(1-1/(1+T44)))</f>
        <v>396.36363636363637</v>
      </c>
      <c r="V44" s="93" t="str">
        <f>Таблица3[[#This Row],[1 Кол-во шт в уп]]</f>
        <v>20</v>
      </c>
      <c r="W44" s="93">
        <f>Таблица3[[#This Row],[1 Объем катриджа]]</f>
        <v>1</v>
      </c>
      <c r="X44" s="296">
        <f>ROUNDDOWN(Таблица3[[#This Row],[2 Цена за уп без НДС и Оптовой над.]]/Таблица3[[#This Row],[2 Кол-во шт в уп]]/Таблица3[[#This Row],[2 Объем катриджа]],2)</f>
        <v>19.809999999999999</v>
      </c>
      <c r="Y44" s="74">
        <v>437.31</v>
      </c>
      <c r="Z44" s="68">
        <v>0.1</v>
      </c>
      <c r="AA44" s="297">
        <f>Таблица3[[#This Row],[3 Цена за уп с НДС]]-(Таблица3[[#This Row],[3 Цена за уп с НДС]]*(1-1/(1+Z44)))</f>
        <v>397.55454545454546</v>
      </c>
      <c r="AB44" s="70" t="str">
        <f>Таблица3[[#This Row],[1 Кол-во шт в уп]]</f>
        <v>20</v>
      </c>
      <c r="AC44" s="70">
        <f>Таблица3[[#This Row],[1 Объем катриджа]]</f>
        <v>1</v>
      </c>
      <c r="AD44" s="71">
        <f>ROUNDDOWN(Таблица3[[#This Row],[3 Цена за уп без НДС и Оптовой над.]]/Таблица3[[#This Row],[3 Кол-во шт в уп]]/Таблица3[[#This Row],[3 Объем катриджа]],2)</f>
        <v>19.87</v>
      </c>
      <c r="AE44" s="260">
        <f>ROUND(MIN(Таблица3[[#This Row],[1 Цена за единицу без НДС]],Таблица3[[#This Row],[2 Цена за единицу без НДС]],Таблица3[[#This Row],[3 Цена за единицу без НДС]]),2)</f>
        <v>19.77</v>
      </c>
      <c r="AF44" s="143">
        <f>VLOOKUP(Таблица3[[#This Row],[№ п/п]],'Спецификация 25'!$1:$1048576,10,0)</f>
        <v>5</v>
      </c>
      <c r="AG44" s="109" t="str">
        <f>Таблица3[[#This Row],[1 Кол-во шт в уп]]</f>
        <v>20</v>
      </c>
      <c r="AH44" s="109">
        <f>Таблица3[[#This Row],[1 Объем катриджа]]</f>
        <v>1</v>
      </c>
      <c r="AI44" s="110">
        <f>Таблица3[[#This Row],[Кол-во Упак]]*Таблица3[[#This Row],[Объем]]*Таблица3[[#This Row],[Кол-во шт в уп]]</f>
        <v>100</v>
      </c>
      <c r="AJ44" s="169">
        <f>STDEV(Таблица3[[#This Row],[1 Цена за единицу без НДС]],Таблица3[[#This Row],[2 Цена за единицу без НДС]],Таблица3[[#This Row],[3 Цена за единицу без НДС]])/Таблица3[[#This Row],[Цена за единицу, руб. ]]</f>
        <v>2.5458892042727606E-3</v>
      </c>
      <c r="AK44" s="163">
        <f>Таблица3[[#This Row],[Цена за единицу, руб. ]]*Таблица3[[#This Row],[Кол-во ЛП (мл/шт)]]</f>
        <v>1977</v>
      </c>
      <c r="AL44" s="144">
        <f>ROUND((Таблица3[[#This Row],[Цена за единицу, руб. ]]+Таблица3[[#This Row],[Цена за единицу, руб. ]]*10%),2)*Таблица3[[#This Row],[Кол-во ЛП (мл/шт)]]</f>
        <v>2175</v>
      </c>
    </row>
    <row r="45" spans="1:40" ht="25.5" x14ac:dyDescent="0.2">
      <c r="A45" s="51">
        <v>38</v>
      </c>
      <c r="B45" s="51">
        <v>33</v>
      </c>
      <c r="C45" s="58"/>
      <c r="D45" s="51" t="s">
        <v>180</v>
      </c>
      <c r="E45" s="253"/>
      <c r="F45" s="51" t="str">
        <f>VLOOKUP(Таблица3[[#This Row],[№ п/п]],'Спецификация 25'!$1:$1048576,2,0)</f>
        <v>Облепиховое масло 50 мл</v>
      </c>
      <c r="G45" s="51" t="str">
        <f>VLOOKUP(Таблица3[[#This Row],[№ п/п]],'Спецификация 25'!$1:$1048576,3,0)</f>
        <v>ОБЛЕПИХИ МАСЛО</v>
      </c>
      <c r="H45" s="51" t="str">
        <f>VLOOKUP(Таблица3[[#This Row],[№ п/п]],'Спецификация 25'!$1:$1048576,7,0)</f>
        <v xml:space="preserve"> Масло для приема внутрь, местного и наружного применения</v>
      </c>
      <c r="I45" s="51" t="str" cm="1">
        <f t="array" ref="I45">IFERROR(INDEX('Спецификация 25'!$G$2:$G$160,MATCH(Таблица3[[#This Row],[№ п/п]]&amp;Таблица3[[#Headers],[Дозировка]],'Спецификация 25'!$A$2:$A$160&amp;'Спецификация 25'!$F$2:$F$160,0)),"нет")</f>
        <v>нет</v>
      </c>
      <c r="J45" s="51" t="str" cm="1">
        <f t="array" ref="J45">IFERROR(INDEX('Спецификация 25'!$G$2:$G$160,MATCH(Таблица3[[#This Row],[№ п/п]]&amp;Таблица3[[#Headers],[Первичная упаковка]],'Спецификация 25'!$A$2:$A$160&amp;'Спецификация 25'!$F$2:$F$160,0)),"нет")</f>
        <v xml:space="preserve"> Флакон</v>
      </c>
      <c r="K45" s="51" t="str" cm="1">
        <f t="array" ref="K45">IFERROR(INDEX('Спецификация 25'!$G$2:$G$160,MATCH(Таблица3[[#This Row],[№ п/п]]&amp;Таблица3[[#Headers],[Описание упаковки]],'Спецификация 25'!$A$2:$A$160&amp;'Спецификация 25'!$F$2:$F$160,0)),"")</f>
        <v>50 мл</v>
      </c>
      <c r="L45" s="51" t="str">
        <f>VLOOKUP(Таблица3[[#This Row],[№ п/п]],'Спецификация 25'!$1:$1048576,8,0)</f>
        <v>мл</v>
      </c>
      <c r="M45" s="72">
        <v>326</v>
      </c>
      <c r="N45" s="68">
        <v>0.1</v>
      </c>
      <c r="O45" s="69">
        <f>Таблица3[[#This Row],[1 Цена за уп с НДС]]-Таблица3[[#This Row],[1 Цена за уп с НДС]]*(1-1/(1+N45))</f>
        <v>296.36363636363637</v>
      </c>
      <c r="P45" s="255" t="str">
        <f>LEFT(Таблица3[[#This Row],[Описание упаковки]],2)</f>
        <v>50</v>
      </c>
      <c r="Q45"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5" s="74">
        <f>ROUNDDOWN(Таблица3[[#This Row],[1 Цена за уп без НДС]]/Таблица3[[#This Row],[1 Кол-во шт в уп]]/Таблица3[[#This Row],[1 Объем катриджа]],2)</f>
        <v>5.92</v>
      </c>
      <c r="S45" s="95">
        <v>327</v>
      </c>
      <c r="T45" s="91">
        <v>0.1</v>
      </c>
      <c r="U45" s="144">
        <f>Таблица3[[#This Row],[2 Цена за уп с НДС]]-(Таблица3[[#This Row],[2 Цена за уп с НДС]]*(1-1/(1+T45)))</f>
        <v>297.27272727272725</v>
      </c>
      <c r="V45" s="93" t="str">
        <f>Таблица3[[#This Row],[1 Кол-во шт в уп]]</f>
        <v>50</v>
      </c>
      <c r="W45" s="93">
        <f>Таблица3[[#This Row],[1 Объем катриджа]]</f>
        <v>1</v>
      </c>
      <c r="X45" s="296">
        <f>ROUNDDOWN(Таблица3[[#This Row],[2 Цена за уп без НДС и Оптовой над.]]/Таблица3[[#This Row],[2 Кол-во шт в уп]]/Таблица3[[#This Row],[2 Объем катриджа]],2)</f>
        <v>5.94</v>
      </c>
      <c r="Y45" s="74">
        <v>327.98</v>
      </c>
      <c r="Z45" s="68">
        <v>0.1</v>
      </c>
      <c r="AA45" s="297">
        <f>Таблица3[[#This Row],[3 Цена за уп с НДС]]-(Таблица3[[#This Row],[3 Цена за уп с НДС]]*(1-1/(1+Z45)))</f>
        <v>298.16363636363639</v>
      </c>
      <c r="AB45" s="70" t="str">
        <f>Таблица3[[#This Row],[1 Кол-во шт в уп]]</f>
        <v>50</v>
      </c>
      <c r="AC45" s="70">
        <f>Таблица3[[#This Row],[1 Объем катриджа]]</f>
        <v>1</v>
      </c>
      <c r="AD45" s="71">
        <f>ROUNDDOWN(Таблица3[[#This Row],[3 Цена за уп без НДС и Оптовой над.]]/Таблица3[[#This Row],[3 Кол-во шт в уп]]/Таблица3[[#This Row],[3 Объем катриджа]],2)</f>
        <v>5.96</v>
      </c>
      <c r="AE45" s="260">
        <f>ROUND(MIN(Таблица3[[#This Row],[1 Цена за единицу без НДС]],Таблица3[[#This Row],[2 Цена за единицу без НДС]],Таблица3[[#This Row],[3 Цена за единицу без НДС]]),2)</f>
        <v>5.92</v>
      </c>
      <c r="AF45" s="143">
        <f>VLOOKUP(Таблица3[[#This Row],[№ п/п]],'Спецификация 25'!$1:$1048576,10,0)</f>
        <v>3</v>
      </c>
      <c r="AG45" s="109" t="str">
        <f>Таблица3[[#This Row],[1 Кол-во шт в уп]]</f>
        <v>50</v>
      </c>
      <c r="AH45" s="109">
        <f>Таблица3[[#This Row],[1 Объем катриджа]]</f>
        <v>1</v>
      </c>
      <c r="AI45" s="110">
        <f>Таблица3[[#This Row],[Кол-во Упак]]*Таблица3[[#This Row],[Объем]]*Таблица3[[#This Row],[Кол-во шт в уп]]</f>
        <v>150</v>
      </c>
      <c r="AJ45" s="169">
        <f>STDEV(Таблица3[[#This Row],[1 Цена за единицу без НДС]],Таблица3[[#This Row],[2 Цена за единицу без НДС]],Таблица3[[#This Row],[3 Цена за единицу без НДС]])/Таблица3[[#This Row],[Цена за единицу, руб. ]]</f>
        <v>3.3783783783783816E-3</v>
      </c>
      <c r="AK45" s="163">
        <f>Таблица3[[#This Row],[Цена за единицу, руб. ]]*Таблица3[[#This Row],[Кол-во ЛП (мл/шт)]]</f>
        <v>888</v>
      </c>
      <c r="AL45" s="144">
        <f>ROUND((Таблица3[[#This Row],[Цена за единицу, руб. ]]+Таблица3[[#This Row],[Цена за единицу, руб. ]]*10%),2)*Таблица3[[#This Row],[Кол-во ЛП (мл/шт)]]</f>
        <v>976.5</v>
      </c>
    </row>
    <row r="46" spans="1:40" ht="25.5" x14ac:dyDescent="0.2">
      <c r="A46" s="51">
        <v>39</v>
      </c>
      <c r="B46" s="51">
        <v>34</v>
      </c>
      <c r="C46" s="58"/>
      <c r="D46" s="51" t="s">
        <v>180</v>
      </c>
      <c r="E46" s="253"/>
      <c r="F46" s="51" t="str">
        <f>VLOOKUP(Таблица3[[#This Row],[№ п/п]],'Спецификация 25'!$1:$1048576,2,0)</f>
        <v>Шиповника масло 50 мл</v>
      </c>
      <c r="G46" s="51" t="str">
        <f>VLOOKUP(Таблица3[[#This Row],[№ п/п]],'Спецификация 25'!$1:$1048576,3,0)</f>
        <v>ШИПОВНИКА СЕМЯН МАСЛО</v>
      </c>
      <c r="H46" s="51" t="str">
        <f>VLOOKUP(Таблица3[[#This Row],[№ п/п]],'Спецификация 25'!$1:$1048576,7,0)</f>
        <v xml:space="preserve"> Масло для приема внутрь, местного и наружного применения</v>
      </c>
      <c r="I46" s="51" t="str" cm="1">
        <f t="array" ref="I46">IFERROR(INDEX('Спецификация 25'!$G$2:$G$160,MATCH(Таблица3[[#This Row],[№ п/п]]&amp;Таблица3[[#Headers],[Дозировка]],'Спецификация 25'!$A$2:$A$160&amp;'Спецификация 25'!$F$2:$F$160,0)),"нет")</f>
        <v>нет</v>
      </c>
      <c r="J46" s="51" t="str" cm="1">
        <f t="array" ref="J46">IFERROR(INDEX('Спецификация 25'!$G$2:$G$160,MATCH(Таблица3[[#This Row],[№ п/п]]&amp;Таблица3[[#Headers],[Первичная упаковка]],'Спецификация 25'!$A$2:$A$160&amp;'Спецификация 25'!$F$2:$F$160,0)),"нет")</f>
        <v xml:space="preserve"> Флакон</v>
      </c>
      <c r="K46" s="51" t="str" cm="1">
        <f t="array" ref="K46">IFERROR(INDEX('Спецификация 25'!$G$2:$G$160,MATCH(Таблица3[[#This Row],[№ п/п]]&amp;Таблица3[[#Headers],[Описание упаковки]],'Спецификация 25'!$A$2:$A$160&amp;'Спецификация 25'!$F$2:$F$160,0)),"")</f>
        <v>50 мл</v>
      </c>
      <c r="L46" s="51" t="str">
        <f>VLOOKUP(Таблица3[[#This Row],[№ п/п]],'Спецификация 25'!$1:$1048576,8,0)</f>
        <v>мл</v>
      </c>
      <c r="M46" s="72">
        <v>500</v>
      </c>
      <c r="N46" s="68">
        <v>0.1</v>
      </c>
      <c r="O46" s="69">
        <f>Таблица3[[#This Row],[1 Цена за уп с НДС]]-Таблица3[[#This Row],[1 Цена за уп с НДС]]*(1-1/(1+N46))</f>
        <v>454.5454545454545</v>
      </c>
      <c r="P46" s="255" t="str">
        <f>LEFT(Таблица3[[#This Row],[Описание упаковки]],2)</f>
        <v>50</v>
      </c>
      <c r="Q46"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6" s="74">
        <f>ROUNDDOWN(Таблица3[[#This Row],[1 Цена за уп без НДС]]/Таблица3[[#This Row],[1 Кол-во шт в уп]]/Таблица3[[#This Row],[1 Объем катриджа]],2)</f>
        <v>9.09</v>
      </c>
      <c r="S46" s="95">
        <v>501</v>
      </c>
      <c r="T46" s="91">
        <v>0.1</v>
      </c>
      <c r="U46" s="144">
        <f>Таблица3[[#This Row],[2 Цена за уп с НДС]]-(Таблица3[[#This Row],[2 Цена за уп с НДС]]*(1-1/(1+T46)))</f>
        <v>455.45454545454544</v>
      </c>
      <c r="V46" s="93" t="str">
        <f>Таблица3[[#This Row],[1 Кол-во шт в уп]]</f>
        <v>50</v>
      </c>
      <c r="W46" s="93">
        <f>Таблица3[[#This Row],[1 Объем катриджа]]</f>
        <v>1</v>
      </c>
      <c r="X46" s="296">
        <f>ROUNDDOWN(Таблица3[[#This Row],[2 Цена за уп без НДС и Оптовой над.]]/Таблица3[[#This Row],[2 Кол-во шт в уп]]/Таблица3[[#This Row],[2 Объем катриджа]],2)</f>
        <v>9.1</v>
      </c>
      <c r="Y46" s="74">
        <v>502.5</v>
      </c>
      <c r="Z46" s="68">
        <v>0.1</v>
      </c>
      <c r="AA46" s="297">
        <f>Таблица3[[#This Row],[3 Цена за уп с НДС]]-(Таблица3[[#This Row],[3 Цена за уп с НДС]]*(1-1/(1+Z46)))</f>
        <v>456.81818181818181</v>
      </c>
      <c r="AB46" s="70" t="str">
        <f>Таблица3[[#This Row],[1 Кол-во шт в уп]]</f>
        <v>50</v>
      </c>
      <c r="AC46" s="70">
        <f>Таблица3[[#This Row],[1 Объем катриджа]]</f>
        <v>1</v>
      </c>
      <c r="AD46" s="71">
        <f>ROUNDDOWN(Таблица3[[#This Row],[3 Цена за уп без НДС и Оптовой над.]]/Таблица3[[#This Row],[3 Кол-во шт в уп]]/Таблица3[[#This Row],[3 Объем катриджа]],2)</f>
        <v>9.1300000000000008</v>
      </c>
      <c r="AE46" s="260">
        <f>ROUND(MIN(Таблица3[[#This Row],[1 Цена за единицу без НДС]],Таблица3[[#This Row],[2 Цена за единицу без НДС]],Таблица3[[#This Row],[3 Цена за единицу без НДС]]),2)</f>
        <v>9.09</v>
      </c>
      <c r="AF46" s="143">
        <f>VLOOKUP(Таблица3[[#This Row],[№ п/п]],'Спецификация 25'!$1:$1048576,10,0)</f>
        <v>3</v>
      </c>
      <c r="AG46" s="109" t="str">
        <f>Таблица3[[#This Row],[1 Кол-во шт в уп]]</f>
        <v>50</v>
      </c>
      <c r="AH46" s="109">
        <f>Таблица3[[#This Row],[1 Объем катриджа]]</f>
        <v>1</v>
      </c>
      <c r="AI46" s="110">
        <f>Таблица3[[#This Row],[Кол-во Упак]]*Таблица3[[#This Row],[Объем]]*Таблица3[[#This Row],[Кол-во шт в уп]]</f>
        <v>150</v>
      </c>
      <c r="AJ46" s="169">
        <f>STDEV(Таблица3[[#This Row],[1 Цена за единицу без НДС]],Таблица3[[#This Row],[2 Цена за единицу без НДС]],Таблица3[[#This Row],[3 Цена за единицу без НДС]])/Таблица3[[#This Row],[Цена за единицу, руб. ]]</f>
        <v>2.2900616055733639E-3</v>
      </c>
      <c r="AK46" s="163">
        <f>Таблица3[[#This Row],[Цена за единицу, руб. ]]*Таблица3[[#This Row],[Кол-во ЛП (мл/шт)]]</f>
        <v>1363.5</v>
      </c>
      <c r="AL46" s="144">
        <f>ROUND((Таблица3[[#This Row],[Цена за единицу, руб. ]]+Таблица3[[#This Row],[Цена за единицу, руб. ]]*10%),2)*Таблица3[[#This Row],[Кол-во ЛП (мл/шт)]]</f>
        <v>1500</v>
      </c>
    </row>
    <row r="47" spans="1:40" ht="38.25" x14ac:dyDescent="0.2">
      <c r="A47" s="51">
        <v>40</v>
      </c>
      <c r="B47" s="51">
        <v>35</v>
      </c>
      <c r="C47" s="58"/>
      <c r="D47" s="51" t="s">
        <v>180</v>
      </c>
      <c r="E47" s="253"/>
      <c r="F47" s="51" t="str">
        <f>VLOOKUP(Таблица3[[#This Row],[№ п/п]],'Спецификация 25'!$1:$1048576,2,0)</f>
        <v>Гепариновая мазь 25 г</v>
      </c>
      <c r="G47" s="51" t="str">
        <f>VLOOKUP(Таблица3[[#This Row],[№ п/п]],'Спецификация 25'!$1:$1048576,3,0)</f>
        <v>ГЕПАРИН НАТРИЯ+БЕНЗОКАИН+БЕНЗИЛНИКОТИНАТ</v>
      </c>
      <c r="H47" s="51" t="str">
        <f>VLOOKUP(Таблица3[[#This Row],[№ п/п]],'Спецификация 25'!$1:$1048576,7,0)</f>
        <v xml:space="preserve"> Мазь для наружного применения</v>
      </c>
      <c r="I47" s="51" t="str" cm="1">
        <f t="array" ref="I47">IFERROR(INDEX('Спецификация 25'!$G$2:$G$160,MATCH(Таблица3[[#This Row],[№ п/п]]&amp;Таблица3[[#Headers],[Дозировка]],'Спецификация 25'!$A$2:$A$160&amp;'Спецификация 25'!$F$2:$F$160,0)),"нет")</f>
        <v xml:space="preserve"> 100 ЕД+40 мг+0.8 мг/г</v>
      </c>
      <c r="J47" s="51" t="str" cm="1">
        <f t="array" ref="J47">IFERROR(INDEX('Спецификация 25'!$G$2:$G$160,MATCH(Таблица3[[#This Row],[№ п/п]]&amp;Таблица3[[#Headers],[Первичная упаковка]],'Спецификация 25'!$A$2:$A$160&amp;'Спецификация 25'!$F$2:$F$160,0)),"нет")</f>
        <v xml:space="preserve"> Туба</v>
      </c>
      <c r="K47" s="51" t="str" cm="1">
        <f t="array" ref="K47">IFERROR(INDEX('Спецификация 25'!$G$2:$G$160,MATCH(Таблица3[[#This Row],[№ п/п]]&amp;Таблица3[[#Headers],[Описание упаковки]],'Спецификация 25'!$A$2:$A$160&amp;'Спецификация 25'!$F$2:$F$160,0)),"")</f>
        <v>25 г</v>
      </c>
      <c r="L47" s="51" t="str">
        <f>VLOOKUP(Таблица3[[#This Row],[№ п/п]],'Спецификация 25'!$1:$1048576,8,0)</f>
        <v>г</v>
      </c>
      <c r="M47" s="72">
        <v>114</v>
      </c>
      <c r="N47" s="68">
        <v>0.1</v>
      </c>
      <c r="O47" s="69">
        <f>Таблица3[[#This Row],[1 Цена за уп с НДС]]-Таблица3[[#This Row],[1 Цена за уп с НДС]]*(1-1/(1+N47))</f>
        <v>103.63636363636363</v>
      </c>
      <c r="P47" s="255" t="str">
        <f>LEFT(Таблица3[[#This Row],[Описание упаковки]],2)</f>
        <v>25</v>
      </c>
      <c r="Q47"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7" s="74">
        <f>ROUNDDOWN(Таблица3[[#This Row],[1 Цена за уп без НДС]]/Таблица3[[#This Row],[1 Кол-во шт в уп]]/Таблица3[[#This Row],[1 Объем катриджа]],2)</f>
        <v>4.1399999999999997</v>
      </c>
      <c r="S47" s="95">
        <v>115</v>
      </c>
      <c r="T47" s="91">
        <v>0.1</v>
      </c>
      <c r="U47" s="144">
        <f>Таблица3[[#This Row],[2 Цена за уп с НДС]]-(Таблица3[[#This Row],[2 Цена за уп с НДС]]*(1-1/(1+T47)))</f>
        <v>104.54545454545455</v>
      </c>
      <c r="V47" s="93" t="str">
        <f>Таблица3[[#This Row],[1 Кол-во шт в уп]]</f>
        <v>25</v>
      </c>
      <c r="W47" s="93">
        <f>Таблица3[[#This Row],[1 Объем катриджа]]</f>
        <v>1</v>
      </c>
      <c r="X47" s="296">
        <f>ROUNDDOWN(Таблица3[[#This Row],[2 Цена за уп без НДС и Оптовой над.]]/Таблица3[[#This Row],[2 Кол-во шт в уп]]/Таблица3[[#This Row],[2 Объем катриджа]],2)</f>
        <v>4.18</v>
      </c>
      <c r="Y47" s="74">
        <v>115.35</v>
      </c>
      <c r="Z47" s="68">
        <v>0.1</v>
      </c>
      <c r="AA47" s="297">
        <f>Таблица3[[#This Row],[3 Цена за уп с НДС]]-(Таблица3[[#This Row],[3 Цена за уп с НДС]]*(1-1/(1+Z47)))</f>
        <v>104.86363636363636</v>
      </c>
      <c r="AB47" s="70" t="str">
        <f>Таблица3[[#This Row],[1 Кол-во шт в уп]]</f>
        <v>25</v>
      </c>
      <c r="AC47" s="70">
        <f>Таблица3[[#This Row],[1 Объем катриджа]]</f>
        <v>1</v>
      </c>
      <c r="AD47" s="71">
        <f>ROUNDDOWN(Таблица3[[#This Row],[3 Цена за уп без НДС и Оптовой над.]]/Таблица3[[#This Row],[3 Кол-во шт в уп]]/Таблица3[[#This Row],[3 Объем катриджа]],2)</f>
        <v>4.1900000000000004</v>
      </c>
      <c r="AE47" s="260">
        <f>ROUND(MIN(Таблица3[[#This Row],[1 Цена за единицу без НДС]],Таблица3[[#This Row],[2 Цена за единицу без НДС]],Таблица3[[#This Row],[3 Цена за единицу без НДС]]),2)</f>
        <v>4.1399999999999997</v>
      </c>
      <c r="AF47" s="143">
        <f>VLOOKUP(Таблица3[[#This Row],[№ п/п]],'Спецификация 25'!$1:$1048576,10,0)</f>
        <v>2</v>
      </c>
      <c r="AG47" s="109" t="str">
        <f>Таблица3[[#This Row],[1 Кол-во шт в уп]]</f>
        <v>25</v>
      </c>
      <c r="AH47" s="109">
        <f>Таблица3[[#This Row],[1 Объем катриджа]]</f>
        <v>1</v>
      </c>
      <c r="AI47" s="110">
        <f>Таблица3[[#This Row],[Кол-во Упак]]*Таблица3[[#This Row],[Объем]]*Таблица3[[#This Row],[Кол-во шт в уп]]</f>
        <v>50</v>
      </c>
      <c r="AJ47" s="169">
        <f>STDEV(Таблица3[[#This Row],[1 Цена за единицу без НДС]],Таблица3[[#This Row],[2 Цена за единицу без НДС]],Таблица3[[#This Row],[3 Цена за единицу без НДС]])/Таблица3[[#This Row],[Цена за единицу, руб. ]]</f>
        <v>6.3907036499145373E-3</v>
      </c>
      <c r="AK47" s="163">
        <f>Таблица3[[#This Row],[Цена за единицу, руб. ]]*Таблица3[[#This Row],[Кол-во ЛП (мл/шт)]]</f>
        <v>206.99999999999997</v>
      </c>
      <c r="AL47" s="144">
        <f>ROUND((Таблица3[[#This Row],[Цена за единицу, руб. ]]+Таблица3[[#This Row],[Цена за единицу, руб. ]]*10%),2)*Таблица3[[#This Row],[Кол-во ЛП (мл/шт)]]</f>
        <v>227.5</v>
      </c>
    </row>
    <row r="48" spans="1:40" ht="25.5" x14ac:dyDescent="0.2">
      <c r="A48" s="51">
        <v>41</v>
      </c>
      <c r="B48" s="51">
        <v>36</v>
      </c>
      <c r="C48" s="58"/>
      <c r="D48" s="51" t="s">
        <v>297</v>
      </c>
      <c r="E48" s="253"/>
      <c r="F48" s="51" t="str">
        <f>VLOOKUP(Таблица3[[#This Row],[№ п/п]],'Спецификация 25'!$1:$1048576,2,0)</f>
        <v>Витамин А 3.44% 10 мл</v>
      </c>
      <c r="G48" s="51" t="str">
        <f>VLOOKUP(Таблица3[[#This Row],[№ п/п]],'Спецификация 25'!$1:$1048576,3,0)</f>
        <v>РЕТИНОЛ</v>
      </c>
      <c r="H48" s="51" t="str">
        <f>VLOOKUP(Таблица3[[#This Row],[№ п/п]],'Спецификация 25'!$1:$1048576,7,0)</f>
        <v xml:space="preserve"> Раствор для приема внутрь и наружного применения</v>
      </c>
      <c r="I48" s="51" t="str" cm="1">
        <f t="array" ref="I48">IFERROR(INDEX('Спецификация 25'!$G$2:$G$160,MATCH(Таблица3[[#This Row],[№ п/п]]&amp;Таблица3[[#Headers],[Дозировка]],'Спецификация 25'!$A$2:$A$160&amp;'Спецификация 25'!$F$2:$F$160,0)),"нет")</f>
        <v>34.4 мг/мл</v>
      </c>
      <c r="J48" s="51" t="str" cm="1">
        <f t="array" ref="J48">IFERROR(INDEX('Спецификация 25'!$G$2:$G$160,MATCH(Таблица3[[#This Row],[№ п/п]]&amp;Таблица3[[#Headers],[Первичная упаковка]],'Спецификация 25'!$A$2:$A$160&amp;'Спецификация 25'!$F$2:$F$160,0)),"нет")</f>
        <v xml:space="preserve"> Флакон</v>
      </c>
      <c r="K48" s="51" t="str" cm="1">
        <f t="array" ref="K48">IFERROR(INDEX('Спецификация 25'!$G$2:$G$160,MATCH(Таблица3[[#This Row],[№ п/п]]&amp;Таблица3[[#Headers],[Описание упаковки]],'Спецификация 25'!$A$2:$A$160&amp;'Спецификация 25'!$F$2:$F$160,0)),"")</f>
        <v>10 мл.</v>
      </c>
      <c r="L48" s="51" t="str">
        <f>VLOOKUP(Таблица3[[#This Row],[№ п/п]],'Спецификация 25'!$1:$1048576,8,0)</f>
        <v>мл</v>
      </c>
      <c r="M48" s="72">
        <v>106.38</v>
      </c>
      <c r="N48" s="68">
        <v>0.1</v>
      </c>
      <c r="O48" s="69">
        <f>Таблица3[[#This Row],[1 Цена за уп с НДС]]-Таблица3[[#This Row],[1 Цена за уп с НДС]]*(1-1/(1+N48))</f>
        <v>96.709090909090904</v>
      </c>
      <c r="P48" s="254" t="str">
        <f>LEFT(Таблица3[[#This Row],[Описание упаковки]],2)</f>
        <v>10</v>
      </c>
      <c r="Q48" s="256">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8" s="258">
        <f>ROUNDDOWN(Таблица3[[#This Row],[1 Цена за уп без НДС]]/Таблица3[[#This Row],[1 Кол-во шт в уп]]/Таблица3[[#This Row],[1 Объем катриджа]],2)</f>
        <v>9.67</v>
      </c>
      <c r="S48" s="95">
        <v>106.39</v>
      </c>
      <c r="T48" s="91">
        <v>0.1</v>
      </c>
      <c r="U48" s="144">
        <f>Таблица3[[#This Row],[2 Цена за уп с НДС]]-(Таблица3[[#This Row],[2 Цена за уп с НДС]]*(1-1/(1+T48)))</f>
        <v>96.718181818181819</v>
      </c>
      <c r="V48" s="93" t="str">
        <f>Таблица3[[#This Row],[1 Кол-во шт в уп]]</f>
        <v>10</v>
      </c>
      <c r="W48" s="93">
        <f>Таблица3[[#This Row],[1 Объем катриджа]]</f>
        <v>1</v>
      </c>
      <c r="X48" s="294">
        <f>ROUNDDOWN(Таблица3[[#This Row],[2 Цена за уп без НДС и Оптовой над.]]/Таблица3[[#This Row],[2 Кол-во шт в уп]]/Таблица3[[#This Row],[2 Объем катриджа]],2)</f>
        <v>9.67</v>
      </c>
      <c r="Y48" s="259">
        <v>106.71</v>
      </c>
      <c r="Z48" s="68">
        <v>0.1</v>
      </c>
      <c r="AA48" s="295">
        <f>Таблица3[[#This Row],[3 Цена за уп с НДС]]-(Таблица3[[#This Row],[3 Цена за уп с НДС]]*(1-1/(1+Z48)))</f>
        <v>97.009090909090901</v>
      </c>
      <c r="AB48" s="70" t="str">
        <f>Таблица3[[#This Row],[1 Кол-во шт в уп]]</f>
        <v>10</v>
      </c>
      <c r="AC48" s="70">
        <f>Таблица3[[#This Row],[1 Объем катриджа]]</f>
        <v>1</v>
      </c>
      <c r="AD48" s="71">
        <f>ROUNDDOWN(Таблица3[[#This Row],[3 Цена за уп без НДС и Оптовой над.]]/Таблица3[[#This Row],[3 Кол-во шт в уп]]/Таблица3[[#This Row],[3 Объем катриджа]],2)</f>
        <v>9.6999999999999993</v>
      </c>
      <c r="AE48" s="273">
        <f>ROUND(MIN(Таблица3[[#This Row],[1 Цена за единицу без НДС]],Таблица3[[#This Row],[2 Цена за единицу без НДС]],Таблица3[[#This Row],[3 Цена за единицу без НДС]]),2)</f>
        <v>9.67</v>
      </c>
      <c r="AF48" s="143">
        <f>VLOOKUP(Таблица3[[#This Row],[№ п/п]],'Спецификация 25'!$1:$1048576,10,0)</f>
        <v>4</v>
      </c>
      <c r="AG48" s="109" t="str">
        <f>Таблица3[[#This Row],[1 Кол-во шт в уп]]</f>
        <v>10</v>
      </c>
      <c r="AH48" s="109">
        <f>Таблица3[[#This Row],[1 Объем катриджа]]</f>
        <v>1</v>
      </c>
      <c r="AI48" s="110">
        <f>Таблица3[[#This Row],[Кол-во Упак]]*Таблица3[[#This Row],[Объем]]*Таблица3[[#This Row],[Кол-во шт в уп]]</f>
        <v>40</v>
      </c>
      <c r="AJ48" s="169">
        <f>STDEV(Таблица3[[#This Row],[1 Цена за единицу без НДС]],Таблица3[[#This Row],[2 Цена за единицу без НДС]],Таблица3[[#This Row],[3 Цена за единицу без НДС]])/Таблица3[[#This Row],[Цена за единицу, руб. ]]</f>
        <v>1.7911590564310656E-3</v>
      </c>
      <c r="AK48" s="163">
        <f>Таблица3[[#This Row],[Цена за единицу, руб. ]]*Таблица3[[#This Row],[Кол-во ЛП (мл/шт)]]</f>
        <v>386.8</v>
      </c>
      <c r="AL48" s="144">
        <f>ROUND((Таблица3[[#This Row],[Цена за единицу, руб. ]]+Таблица3[[#This Row],[Цена за единицу, руб. ]]*10%),2)*Таблица3[[#This Row],[Кол-во ЛП (мл/шт)]]</f>
        <v>425.6</v>
      </c>
    </row>
    <row r="49" spans="1:38" ht="25.5" x14ac:dyDescent="0.2">
      <c r="A49" s="51">
        <v>42</v>
      </c>
      <c r="B49" s="51">
        <v>37</v>
      </c>
      <c r="C49" s="58"/>
      <c r="D49" s="51" t="s">
        <v>297</v>
      </c>
      <c r="E49" s="253"/>
      <c r="F49" s="51" t="str">
        <f>VLOOKUP(Таблица3[[#This Row],[№ п/п]],'Спецификация 25'!$1:$1048576,2,0)</f>
        <v>Витамин А 100000 МЕ/мл 10 мл</v>
      </c>
      <c r="G49" s="51" t="str">
        <f>VLOOKUP(Таблица3[[#This Row],[№ п/п]],'Спецификация 25'!$1:$1048576,3,0)</f>
        <v>РЕТИНОЛ</v>
      </c>
      <c r="H49" s="51" t="str">
        <f>VLOOKUP(Таблица3[[#This Row],[№ п/п]],'Спецификация 25'!$1:$1048576,7,0)</f>
        <v xml:space="preserve"> Раствор для приема внутрь</v>
      </c>
      <c r="I49" s="51" t="str" cm="1">
        <f t="array" ref="I49">IFERROR(INDEX('Спецификация 25'!$G$2:$G$160,MATCH(Таблица3[[#This Row],[№ п/п]]&amp;Таблица3[[#Headers],[Дозировка]],'Спецификация 25'!$A$2:$A$160&amp;'Спецификация 25'!$F$2:$F$160,0)),"нет")</f>
        <v xml:space="preserve"> 100000 ЕД/мл</v>
      </c>
      <c r="J49" s="51" t="str" cm="1">
        <f t="array" ref="J49">IFERROR(INDEX('Спецификация 25'!$G$2:$G$160,MATCH(Таблица3[[#This Row],[№ п/п]]&amp;Таблица3[[#Headers],[Первичная упаковка]],'Спецификация 25'!$A$2:$A$160&amp;'Спецификация 25'!$F$2:$F$160,0)),"нет")</f>
        <v xml:space="preserve"> Флакон</v>
      </c>
      <c r="K49" s="51" t="str" cm="1">
        <f t="array" ref="K49">IFERROR(INDEX('Спецификация 25'!$G$2:$G$160,MATCH(Таблица3[[#This Row],[№ п/п]]&amp;Таблица3[[#Headers],[Описание упаковки]],'Спецификация 25'!$A$2:$A$160&amp;'Спецификация 25'!$F$2:$F$160,0)),"")</f>
        <v>10 мл.</v>
      </c>
      <c r="L49" s="51" t="str">
        <f>VLOOKUP(Таблица3[[#This Row],[№ п/п]],'Спецификация 25'!$1:$1048576,8,0)</f>
        <v>мл</v>
      </c>
      <c r="M49" s="72">
        <v>130.66</v>
      </c>
      <c r="N49" s="68">
        <v>0.1</v>
      </c>
      <c r="O49" s="69">
        <f>Таблица3[[#This Row],[1 Цена за уп с НДС]]-Таблица3[[#This Row],[1 Цена за уп с НДС]]*(1-1/(1+N49))</f>
        <v>118.78181818181818</v>
      </c>
      <c r="P49" s="255" t="str">
        <f>LEFT(Таблица3[[#This Row],[Описание упаковки]],2)</f>
        <v>10</v>
      </c>
      <c r="Q49"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49" s="74">
        <f>ROUNDDOWN(Таблица3[[#This Row],[1 Цена за уп без НДС]]/Таблица3[[#This Row],[1 Кол-во шт в уп]]/Таблица3[[#This Row],[1 Объем катриджа]],2)</f>
        <v>11.87</v>
      </c>
      <c r="S49" s="95">
        <v>130.66999999999999</v>
      </c>
      <c r="T49" s="91">
        <v>0.1</v>
      </c>
      <c r="U49" s="144">
        <f>Таблица3[[#This Row],[2 Цена за уп с НДС]]-(Таблица3[[#This Row],[2 Цена за уп с НДС]]*(1-1/(1+T49)))</f>
        <v>118.79090909090908</v>
      </c>
      <c r="V49" s="93" t="str">
        <f>Таблица3[[#This Row],[1 Кол-во шт в уп]]</f>
        <v>10</v>
      </c>
      <c r="W49" s="93">
        <f>Таблица3[[#This Row],[1 Объем катриджа]]</f>
        <v>1</v>
      </c>
      <c r="X49" s="296">
        <f>ROUNDDOWN(Таблица3[[#This Row],[2 Цена за уп без НДС и Оптовой над.]]/Таблица3[[#This Row],[2 Кол-во шт в уп]]/Таблица3[[#This Row],[2 Объем катриджа]],2)</f>
        <v>11.87</v>
      </c>
      <c r="Y49" s="74">
        <v>131.06</v>
      </c>
      <c r="Z49" s="68">
        <v>0.1</v>
      </c>
      <c r="AA49" s="297">
        <f>Таблица3[[#This Row],[3 Цена за уп с НДС]]-(Таблица3[[#This Row],[3 Цена за уп с НДС]]*(1-1/(1+Z49)))</f>
        <v>119.14545454545454</v>
      </c>
      <c r="AB49" s="70" t="str">
        <f>Таблица3[[#This Row],[1 Кол-во шт в уп]]</f>
        <v>10</v>
      </c>
      <c r="AC49" s="70">
        <f>Таблица3[[#This Row],[1 Объем катриджа]]</f>
        <v>1</v>
      </c>
      <c r="AD49" s="71">
        <f>ROUNDDOWN(Таблица3[[#This Row],[3 Цена за уп без НДС и Оптовой над.]]/Таблица3[[#This Row],[3 Кол-во шт в уп]]/Таблица3[[#This Row],[3 Объем катриджа]],2)</f>
        <v>11.91</v>
      </c>
      <c r="AE49" s="260">
        <f>ROUND(MIN(Таблица3[[#This Row],[1 Цена за единицу без НДС]],Таблица3[[#This Row],[2 Цена за единицу без НДС]],Таблица3[[#This Row],[3 Цена за единицу без НДС]]),2)</f>
        <v>11.87</v>
      </c>
      <c r="AF49" s="143">
        <f>VLOOKUP(Таблица3[[#This Row],[№ п/п]],'Спецификация 25'!$1:$1048576,10,0)</f>
        <v>2</v>
      </c>
      <c r="AG49" s="109" t="str">
        <f>Таблица3[[#This Row],[1 Кол-во шт в уп]]</f>
        <v>10</v>
      </c>
      <c r="AH49" s="109">
        <f>Таблица3[[#This Row],[1 Объем катриджа]]</f>
        <v>1</v>
      </c>
      <c r="AI49" s="110">
        <f>Таблица3[[#This Row],[Кол-во Упак]]*Таблица3[[#This Row],[Объем]]*Таблица3[[#This Row],[Кол-во шт в уп]]</f>
        <v>20</v>
      </c>
      <c r="AJ49" s="169">
        <f>STDEV(Таблица3[[#This Row],[1 Цена за единицу без НДС]],Таблица3[[#This Row],[2 Цена за единицу без НДС]],Таблица3[[#This Row],[3 Цена за единицу без НДС]])/Таблица3[[#This Row],[Цена за единицу, руб. ]]</f>
        <v>1.9455779922144536E-3</v>
      </c>
      <c r="AK49" s="163">
        <f>Таблица3[[#This Row],[Цена за единицу, руб. ]]*Таблица3[[#This Row],[Кол-во ЛП (мл/шт)]]</f>
        <v>237.39999999999998</v>
      </c>
      <c r="AL49" s="144">
        <f>ROUND((Таблица3[[#This Row],[Цена за единицу, руб. ]]+Таблица3[[#This Row],[Цена за единицу, руб. ]]*10%),2)*Таблица3[[#This Row],[Кол-во ЛП (мл/шт)]]</f>
        <v>261.2</v>
      </c>
    </row>
    <row r="50" spans="1:38" ht="25.5" x14ac:dyDescent="0.2">
      <c r="A50" s="51">
        <v>43</v>
      </c>
      <c r="B50" s="51">
        <v>38</v>
      </c>
      <c r="C50" s="58"/>
      <c r="D50" s="51" t="s">
        <v>297</v>
      </c>
      <c r="E50" s="253"/>
      <c r="F50" s="51" t="str">
        <f>VLOOKUP(Таблица3[[#This Row],[№ п/п]],'Спецификация 25'!$1:$1048576,2,0)</f>
        <v>Супрастин 25 мг № 20</v>
      </c>
      <c r="G50" s="51" t="str">
        <f>VLOOKUP(Таблица3[[#This Row],[№ п/п]],'Спецификация 25'!$1:$1048576,3,0)</f>
        <v>ХЛОРОПИРАМИН</v>
      </c>
      <c r="H50" s="51" t="str">
        <f>VLOOKUP(Таблица3[[#This Row],[№ п/п]],'Спецификация 25'!$1:$1048576,7,0)</f>
        <v xml:space="preserve"> Таблетки</v>
      </c>
      <c r="I50" s="51" t="str" cm="1">
        <f t="array" ref="I50">IFERROR(INDEX('Спецификация 25'!$G$2:$G$160,MATCH(Таблица3[[#This Row],[№ п/п]]&amp;Таблица3[[#Headers],[Дозировка]],'Спецификация 25'!$A$2:$A$160&amp;'Спецификация 25'!$F$2:$F$160,0)),"нет")</f>
        <v>25 мг</v>
      </c>
      <c r="J50" s="51" t="str" cm="1">
        <f t="array" ref="J50">IFERROR(INDEX('Спецификация 25'!$G$2:$G$160,MATCH(Таблица3[[#This Row],[№ п/п]]&amp;Таблица3[[#Headers],[Первичная упаковка]],'Спецификация 25'!$A$2:$A$160&amp;'Спецификация 25'!$F$2:$F$160,0)),"нет")</f>
        <v>нет</v>
      </c>
      <c r="K50" s="51" t="str" cm="1">
        <f t="array" ref="K50">IFERROR(INDEX('Спецификация 25'!$G$2:$G$160,MATCH(Таблица3[[#This Row],[№ п/п]]&amp;Таблица3[[#Headers],[Описание упаковки]],'Спецификация 25'!$A$2:$A$160&amp;'Спецификация 25'!$F$2:$F$160,0)),"")</f>
        <v xml:space="preserve"> 20 шт.</v>
      </c>
      <c r="L50" s="51" t="str">
        <f>VLOOKUP(Таблица3[[#This Row],[№ п/п]],'Спецификация 25'!$1:$1048576,8,0)</f>
        <v>шт</v>
      </c>
      <c r="M50" s="72">
        <v>140.9</v>
      </c>
      <c r="N50" s="68">
        <v>0.1</v>
      </c>
      <c r="O50" s="69">
        <f>Таблица3[[#This Row],[1 Цена за уп с НДС]]-Таблица3[[#This Row],[1 Цена за уп с НДС]]*(1-1/(1+N50))</f>
        <v>128.09090909090909</v>
      </c>
      <c r="P50" s="255" t="str">
        <f>LEFT(Таблица3[[#This Row],[Описание упаковки]],3)</f>
        <v xml:space="preserve"> 20</v>
      </c>
      <c r="Q50" s="257">
        <f>IF(LEFT(Таблица3[[#This Row],[Лекарственная форма]],7)="Раствор",LEFT(RIGHT(Таблица3[[#This Row],[Описание упаковки]],4),1),IF(LEFT(Таблица3[[#This Row],[Лекарственная форма]],5)="Капли",LEFT(RIGHT(Таблица3[[#This Row],[Описание упаковки]],4)),1))</f>
        <v>1</v>
      </c>
      <c r="R50" s="74">
        <f>ROUNDDOWN(Таблица3[[#This Row],[1 Цена за уп без НДС]]/Таблица3[[#This Row],[1 Кол-во шт в уп]]/Таблица3[[#This Row],[1 Объем катриджа]],2)</f>
        <v>6.4</v>
      </c>
      <c r="S50" s="95">
        <v>140.91</v>
      </c>
      <c r="T50" s="91">
        <v>0.1</v>
      </c>
      <c r="U50" s="144">
        <f>Таблица3[[#This Row],[2 Цена за уп с НДС]]-(Таблица3[[#This Row],[2 Цена за уп с НДС]]*(1-1/(1+T50)))</f>
        <v>128.1</v>
      </c>
      <c r="V50" s="93" t="str">
        <f>Таблица3[[#This Row],[1 Кол-во шт в уп]]</f>
        <v xml:space="preserve"> 20</v>
      </c>
      <c r="W50" s="93">
        <f>Таблица3[[#This Row],[1 Объем катриджа]]</f>
        <v>1</v>
      </c>
      <c r="X50" s="296">
        <f>ROUNDDOWN(Таблица3[[#This Row],[2 Цена за уп без НДС и Оптовой над.]]/Таблица3[[#This Row],[2 Кол-во шт в уп]]/Таблица3[[#This Row],[2 Объем катриджа]],2)</f>
        <v>6.4</v>
      </c>
      <c r="Y50" s="74">
        <v>141.33000000000001</v>
      </c>
      <c r="Z50" s="68">
        <v>0.1</v>
      </c>
      <c r="AA50" s="297">
        <f>Таблица3[[#This Row],[3 Цена за уп с НДС]]-(Таблица3[[#This Row],[3 Цена за уп с НДС]]*(1-1/(1+Z50)))</f>
        <v>128.4818181818182</v>
      </c>
      <c r="AB50" s="70" t="str">
        <f>Таблица3[[#This Row],[1 Кол-во шт в уп]]</f>
        <v xml:space="preserve"> 20</v>
      </c>
      <c r="AC50" s="70">
        <f>Таблица3[[#This Row],[1 Объем катриджа]]</f>
        <v>1</v>
      </c>
      <c r="AD50" s="71">
        <f>ROUNDDOWN(Таблица3[[#This Row],[3 Цена за уп без НДС и Оптовой над.]]/Таблица3[[#This Row],[3 Кол-во шт в уп]]/Таблица3[[#This Row],[3 Объем катриджа]],2)</f>
        <v>6.42</v>
      </c>
      <c r="AE50" s="260">
        <f>ROUND(MIN(Таблица3[[#This Row],[1 Цена за единицу без НДС]],Таблица3[[#This Row],[2 Цена за единицу без НДС]],Таблица3[[#This Row],[3 Цена за единицу без НДС]]),2)</f>
        <v>6.4</v>
      </c>
      <c r="AF50" s="143">
        <f>VLOOKUP(Таблица3[[#This Row],[№ п/п]],'Спецификация 25'!$1:$1048576,10,0)</f>
        <v>6</v>
      </c>
      <c r="AG50" s="109" t="str">
        <f>Таблица3[[#This Row],[1 Кол-во шт в уп]]</f>
        <v xml:space="preserve"> 20</v>
      </c>
      <c r="AH50" s="109">
        <f>Таблица3[[#This Row],[1 Объем катриджа]]</f>
        <v>1</v>
      </c>
      <c r="AI50" s="110">
        <f>Таблица3[[#This Row],[Кол-во Упак]]*Таблица3[[#This Row],[Объем]]*Таблица3[[#This Row],[Кол-во шт в уп]]</f>
        <v>120</v>
      </c>
      <c r="AJ50" s="169">
        <f>STDEV(Таблица3[[#This Row],[1 Цена за единицу без НДС]],Таблица3[[#This Row],[2 Цена за единицу без НДС]],Таблица3[[#This Row],[3 Цена за единицу без НДС]])/Таблица3[[#This Row],[Цена за единицу, руб. ]]</f>
        <v>1.8042195912175421E-3</v>
      </c>
      <c r="AK50" s="163">
        <f>Таблица3[[#This Row],[Цена за единицу, руб. ]]*Таблица3[[#This Row],[Кол-во ЛП (мл/шт)]]</f>
        <v>768</v>
      </c>
      <c r="AL50" s="144">
        <f>ROUND((Таблица3[[#This Row],[Цена за единицу, руб. ]]+Таблица3[[#This Row],[Цена за единицу, руб. ]]*10%),2)*Таблица3[[#This Row],[Кол-во ЛП (мл/шт)]]</f>
        <v>844.8</v>
      </c>
    </row>
    <row r="51" spans="1:38" x14ac:dyDescent="0.2">
      <c r="G51" s="59"/>
      <c r="I51" s="60"/>
      <c r="J51" s="60"/>
      <c r="AF51" s="270">
        <f>SUBTOTAL(109,Таблица3[Кол-во Упак])</f>
        <v>1393</v>
      </c>
      <c r="AG51" s="65"/>
      <c r="AH51" s="65"/>
      <c r="AI51" s="65"/>
      <c r="AJ51" s="65"/>
      <c r="AK51" s="274"/>
    </row>
    <row r="52" spans="1:38" x14ac:dyDescent="0.2">
      <c r="AG52" s="65"/>
      <c r="AH52" s="65"/>
      <c r="AI52" s="65"/>
      <c r="AJ52" s="65"/>
      <c r="AK52" s="274"/>
    </row>
    <row r="53" spans="1:38" x14ac:dyDescent="0.2">
      <c r="AG53" s="65"/>
      <c r="AH53" s="65"/>
      <c r="AI53" s="65"/>
      <c r="AJ53" s="65"/>
      <c r="AK53" s="274"/>
    </row>
    <row r="54" spans="1:38" x14ac:dyDescent="0.2">
      <c r="AG54" s="65"/>
      <c r="AH54" s="65"/>
      <c r="AI54" s="65"/>
      <c r="AJ54" s="65"/>
      <c r="AK54" s="274"/>
    </row>
    <row r="55" spans="1:38" x14ac:dyDescent="0.2">
      <c r="AG55" s="65"/>
      <c r="AH55" s="65"/>
      <c r="AI55" s="65"/>
      <c r="AJ55" s="65"/>
      <c r="AK55" s="274"/>
    </row>
    <row r="56" spans="1:38" x14ac:dyDescent="0.2">
      <c r="AG56" s="65"/>
      <c r="AH56" s="65"/>
      <c r="AI56" s="65"/>
      <c r="AJ56" s="65"/>
      <c r="AK56" s="274"/>
    </row>
    <row r="57" spans="1:38" x14ac:dyDescent="0.2">
      <c r="AG57" s="65"/>
      <c r="AH57" s="65"/>
      <c r="AI57" s="65"/>
      <c r="AJ57" s="65"/>
      <c r="AK57" s="274"/>
    </row>
    <row r="58" spans="1:38" x14ac:dyDescent="0.2">
      <c r="AG58" s="65"/>
      <c r="AH58" s="65"/>
      <c r="AI58" s="65"/>
      <c r="AJ58" s="65"/>
      <c r="AK58" s="274"/>
    </row>
    <row r="59" spans="1:38" x14ac:dyDescent="0.2">
      <c r="AG59" s="65"/>
      <c r="AH59" s="65"/>
      <c r="AI59" s="65"/>
      <c r="AJ59" s="65"/>
      <c r="AK59" s="274"/>
    </row>
    <row r="60" spans="1:38" x14ac:dyDescent="0.2">
      <c r="AG60" s="65"/>
      <c r="AH60" s="65"/>
      <c r="AI60" s="65"/>
      <c r="AJ60" s="65"/>
      <c r="AK60" s="274"/>
    </row>
    <row r="61" spans="1:38" x14ac:dyDescent="0.2">
      <c r="AG61" s="65"/>
      <c r="AH61" s="65"/>
      <c r="AI61" s="65"/>
      <c r="AJ61" s="65"/>
      <c r="AK61" s="274"/>
    </row>
    <row r="62" spans="1:38" x14ac:dyDescent="0.2">
      <c r="AG62" s="65"/>
      <c r="AH62" s="65"/>
      <c r="AI62" s="65"/>
      <c r="AJ62" s="65"/>
      <c r="AK62" s="274"/>
    </row>
    <row r="63" spans="1:38" x14ac:dyDescent="0.2">
      <c r="AG63" s="65"/>
      <c r="AH63" s="65"/>
      <c r="AI63" s="65"/>
      <c r="AJ63" s="65"/>
      <c r="AK63" s="274"/>
    </row>
    <row r="64" spans="1:38" x14ac:dyDescent="0.2">
      <c r="AG64" s="65"/>
      <c r="AH64" s="65"/>
      <c r="AI64" s="65"/>
      <c r="AJ64" s="65"/>
      <c r="AK64" s="274"/>
    </row>
    <row r="65" spans="33:37" x14ac:dyDescent="0.2">
      <c r="AG65" s="65"/>
      <c r="AH65" s="65"/>
      <c r="AI65" s="65"/>
      <c r="AJ65" s="65"/>
      <c r="AK65" s="274"/>
    </row>
    <row r="66" spans="33:37" x14ac:dyDescent="0.2">
      <c r="AG66" s="65"/>
      <c r="AH66" s="65"/>
      <c r="AI66" s="65"/>
      <c r="AJ66" s="65"/>
      <c r="AK66" s="274"/>
    </row>
    <row r="67" spans="33:37" x14ac:dyDescent="0.2">
      <c r="AG67" s="65"/>
      <c r="AH67" s="65"/>
      <c r="AI67" s="65"/>
      <c r="AJ67" s="65"/>
      <c r="AK67" s="274"/>
    </row>
    <row r="68" spans="33:37" x14ac:dyDescent="0.2">
      <c r="AG68" s="65"/>
      <c r="AH68" s="65"/>
      <c r="AI68" s="65"/>
      <c r="AJ68" s="65"/>
      <c r="AK68" s="274"/>
    </row>
    <row r="69" spans="33:37" x14ac:dyDescent="0.2">
      <c r="AG69" s="65"/>
      <c r="AH69" s="65"/>
      <c r="AI69" s="65"/>
      <c r="AJ69" s="65"/>
      <c r="AK69" s="274"/>
    </row>
    <row r="70" spans="33:37" x14ac:dyDescent="0.2">
      <c r="AG70" s="65"/>
      <c r="AH70" s="65"/>
      <c r="AI70" s="65"/>
      <c r="AJ70" s="65"/>
      <c r="AK70" s="274"/>
    </row>
    <row r="71" spans="33:37" x14ac:dyDescent="0.2">
      <c r="AG71" s="65"/>
      <c r="AH71" s="65"/>
      <c r="AI71" s="65"/>
      <c r="AJ71" s="65"/>
      <c r="AK71" s="274"/>
    </row>
    <row r="72" spans="33:37" x14ac:dyDescent="0.2">
      <c r="AG72" s="65"/>
      <c r="AH72" s="65"/>
      <c r="AI72" s="65"/>
      <c r="AJ72" s="65"/>
      <c r="AK72" s="274"/>
    </row>
    <row r="73" spans="33:37" x14ac:dyDescent="0.2">
      <c r="AG73" s="65"/>
      <c r="AH73" s="65"/>
      <c r="AI73" s="65"/>
      <c r="AJ73" s="65"/>
      <c r="AK73" s="274"/>
    </row>
    <row r="74" spans="33:37" x14ac:dyDescent="0.2">
      <c r="AG74" s="65"/>
      <c r="AH74" s="65"/>
      <c r="AI74" s="65"/>
      <c r="AJ74" s="65"/>
      <c r="AK74" s="274"/>
    </row>
    <row r="75" spans="33:37" x14ac:dyDescent="0.2">
      <c r="AG75" s="65"/>
      <c r="AH75" s="65"/>
      <c r="AI75" s="65"/>
      <c r="AJ75" s="65"/>
      <c r="AK75" s="274"/>
    </row>
    <row r="76" spans="33:37" x14ac:dyDescent="0.2">
      <c r="AG76" s="65"/>
      <c r="AH76" s="65"/>
      <c r="AI76" s="65"/>
      <c r="AJ76" s="65"/>
      <c r="AK76" s="274"/>
    </row>
    <row r="77" spans="33:37" x14ac:dyDescent="0.2">
      <c r="AG77" s="65"/>
      <c r="AH77" s="65"/>
      <c r="AI77" s="65"/>
      <c r="AJ77" s="65"/>
      <c r="AK77" s="274"/>
    </row>
    <row r="78" spans="33:37" x14ac:dyDescent="0.2">
      <c r="AG78" s="65"/>
      <c r="AH78" s="65"/>
      <c r="AI78" s="65"/>
      <c r="AJ78" s="65"/>
      <c r="AK78" s="274"/>
    </row>
    <row r="79" spans="33:37" x14ac:dyDescent="0.2">
      <c r="AG79" s="65"/>
      <c r="AH79" s="65"/>
      <c r="AI79" s="65"/>
      <c r="AJ79" s="65"/>
      <c r="AK79" s="274"/>
    </row>
    <row r="80" spans="33:37" x14ac:dyDescent="0.2">
      <c r="AG80" s="65"/>
      <c r="AH80" s="65"/>
      <c r="AI80" s="65"/>
      <c r="AJ80" s="65"/>
      <c r="AK80" s="274"/>
    </row>
    <row r="81" spans="33:37" x14ac:dyDescent="0.2">
      <c r="AG81" s="65"/>
      <c r="AH81" s="65"/>
      <c r="AI81" s="65"/>
      <c r="AJ81" s="65"/>
      <c r="AK81" s="274"/>
    </row>
    <row r="82" spans="33:37" x14ac:dyDescent="0.2">
      <c r="AG82" s="65"/>
      <c r="AH82" s="65"/>
      <c r="AI82" s="65"/>
      <c r="AJ82" s="65"/>
      <c r="AK82" s="274"/>
    </row>
    <row r="83" spans="33:37" x14ac:dyDescent="0.2">
      <c r="AG83" s="65"/>
      <c r="AH83" s="65"/>
      <c r="AI83" s="65"/>
      <c r="AJ83" s="65"/>
      <c r="AK83" s="274"/>
    </row>
    <row r="84" spans="33:37" x14ac:dyDescent="0.2">
      <c r="AG84" s="65"/>
      <c r="AH84" s="65"/>
      <c r="AI84" s="65"/>
      <c r="AJ84" s="65"/>
      <c r="AK84" s="274"/>
    </row>
    <row r="85" spans="33:37" x14ac:dyDescent="0.2">
      <c r="AG85" s="65"/>
      <c r="AH85" s="65"/>
      <c r="AI85" s="65"/>
      <c r="AJ85" s="65"/>
      <c r="AK85" s="274"/>
    </row>
    <row r="86" spans="33:37" x14ac:dyDescent="0.2">
      <c r="AG86" s="65"/>
      <c r="AH86" s="65"/>
      <c r="AI86" s="65"/>
      <c r="AJ86" s="65"/>
      <c r="AK86" s="274"/>
    </row>
    <row r="87" spans="33:37" x14ac:dyDescent="0.2">
      <c r="AG87" s="65"/>
      <c r="AH87" s="65"/>
      <c r="AI87" s="65"/>
      <c r="AJ87" s="65"/>
      <c r="AK87" s="274"/>
    </row>
    <row r="88" spans="33:37" x14ac:dyDescent="0.2">
      <c r="AG88" s="65"/>
      <c r="AH88" s="65"/>
      <c r="AI88" s="65"/>
      <c r="AJ88" s="65"/>
      <c r="AK88" s="274"/>
    </row>
    <row r="89" spans="33:37" x14ac:dyDescent="0.2">
      <c r="AG89" s="65"/>
      <c r="AH89" s="65"/>
      <c r="AI89" s="65"/>
      <c r="AJ89" s="65"/>
      <c r="AK89" s="274"/>
    </row>
    <row r="90" spans="33:37" x14ac:dyDescent="0.2">
      <c r="AG90" s="65"/>
      <c r="AH90" s="65"/>
      <c r="AI90" s="65"/>
      <c r="AJ90" s="65"/>
      <c r="AK90" s="274"/>
    </row>
    <row r="91" spans="33:37" x14ac:dyDescent="0.2">
      <c r="AG91" s="65"/>
      <c r="AH91" s="65"/>
      <c r="AI91" s="65"/>
      <c r="AJ91" s="65"/>
      <c r="AK91" s="274"/>
    </row>
    <row r="92" spans="33:37" x14ac:dyDescent="0.2">
      <c r="AG92" s="65"/>
      <c r="AH92" s="65"/>
      <c r="AI92" s="65"/>
      <c r="AJ92" s="65"/>
      <c r="AK92" s="274"/>
    </row>
    <row r="93" spans="33:37" x14ac:dyDescent="0.2">
      <c r="AG93" s="65"/>
      <c r="AH93" s="65"/>
      <c r="AI93" s="65"/>
      <c r="AJ93" s="65"/>
      <c r="AK93" s="274"/>
    </row>
    <row r="94" spans="33:37" x14ac:dyDescent="0.2">
      <c r="AG94" s="65"/>
      <c r="AH94" s="65"/>
      <c r="AI94" s="65"/>
      <c r="AJ94" s="65"/>
      <c r="AK94" s="274"/>
    </row>
    <row r="95" spans="33:37" x14ac:dyDescent="0.2">
      <c r="AG95" s="65"/>
      <c r="AH95" s="65"/>
      <c r="AI95" s="65"/>
      <c r="AJ95" s="65"/>
      <c r="AK95" s="274"/>
    </row>
    <row r="96" spans="33:37" x14ac:dyDescent="0.2">
      <c r="AG96" s="65"/>
      <c r="AH96" s="65"/>
      <c r="AI96" s="65"/>
      <c r="AJ96" s="65"/>
      <c r="AK96" s="274"/>
    </row>
    <row r="97" spans="33:37" x14ac:dyDescent="0.2">
      <c r="AG97" s="65"/>
      <c r="AH97" s="65"/>
      <c r="AI97" s="65"/>
      <c r="AJ97" s="65"/>
      <c r="AK97" s="274"/>
    </row>
    <row r="98" spans="33:37" x14ac:dyDescent="0.2">
      <c r="AG98" s="65"/>
      <c r="AH98" s="65"/>
      <c r="AI98" s="65"/>
      <c r="AJ98" s="65"/>
      <c r="AK98" s="274"/>
    </row>
    <row r="99" spans="33:37" x14ac:dyDescent="0.2">
      <c r="AG99" s="65"/>
      <c r="AH99" s="65"/>
      <c r="AI99" s="65"/>
      <c r="AJ99" s="65"/>
      <c r="AK99" s="274"/>
    </row>
    <row r="100" spans="33:37" x14ac:dyDescent="0.2">
      <c r="AG100" s="65"/>
      <c r="AH100" s="65"/>
      <c r="AI100" s="65"/>
      <c r="AJ100" s="65"/>
      <c r="AK100" s="274"/>
    </row>
    <row r="101" spans="33:37" x14ac:dyDescent="0.2">
      <c r="AG101" s="65"/>
      <c r="AH101" s="65"/>
      <c r="AI101" s="65"/>
      <c r="AJ101" s="65"/>
      <c r="AK101" s="274"/>
    </row>
    <row r="102" spans="33:37" x14ac:dyDescent="0.2">
      <c r="AG102" s="65"/>
      <c r="AH102" s="65"/>
      <c r="AI102" s="65"/>
      <c r="AJ102" s="65"/>
      <c r="AK102" s="274"/>
    </row>
    <row r="103" spans="33:37" x14ac:dyDescent="0.2">
      <c r="AG103" s="65"/>
      <c r="AH103" s="65"/>
      <c r="AI103" s="65"/>
      <c r="AJ103" s="65"/>
      <c r="AK103" s="274"/>
    </row>
    <row r="104" spans="33:37" x14ac:dyDescent="0.2">
      <c r="AG104" s="65"/>
      <c r="AH104" s="65"/>
      <c r="AI104" s="65"/>
      <c r="AJ104" s="65"/>
      <c r="AK104" s="274"/>
    </row>
    <row r="105" spans="33:37" x14ac:dyDescent="0.2">
      <c r="AG105" s="65"/>
      <c r="AH105" s="65"/>
      <c r="AI105" s="65"/>
      <c r="AJ105" s="65"/>
      <c r="AK105" s="274"/>
    </row>
    <row r="106" spans="33:37" x14ac:dyDescent="0.2">
      <c r="AG106" s="65"/>
      <c r="AH106" s="65"/>
      <c r="AI106" s="65"/>
      <c r="AJ106" s="65"/>
      <c r="AK106" s="274"/>
    </row>
    <row r="107" spans="33:37" x14ac:dyDescent="0.2">
      <c r="AG107" s="65"/>
      <c r="AH107" s="65"/>
      <c r="AI107" s="65"/>
      <c r="AJ107" s="65"/>
      <c r="AK107" s="274"/>
    </row>
    <row r="108" spans="33:37" x14ac:dyDescent="0.2">
      <c r="AG108" s="65"/>
      <c r="AH108" s="65"/>
      <c r="AI108" s="65"/>
      <c r="AJ108" s="65"/>
      <c r="AK108" s="274"/>
    </row>
    <row r="109" spans="33:37" x14ac:dyDescent="0.2">
      <c r="AG109" s="65"/>
      <c r="AH109" s="65"/>
      <c r="AI109" s="65"/>
      <c r="AJ109" s="65"/>
      <c r="AK109" s="274"/>
    </row>
    <row r="110" spans="33:37" x14ac:dyDescent="0.2">
      <c r="AG110" s="65"/>
      <c r="AH110" s="65"/>
      <c r="AI110" s="65"/>
      <c r="AJ110" s="65"/>
      <c r="AK110" s="274"/>
    </row>
    <row r="111" spans="33:37" x14ac:dyDescent="0.2">
      <c r="AG111" s="65"/>
      <c r="AH111" s="65"/>
      <c r="AI111" s="65"/>
      <c r="AJ111" s="65"/>
      <c r="AK111" s="274"/>
    </row>
    <row r="112" spans="33:37" x14ac:dyDescent="0.2">
      <c r="AG112" s="65"/>
      <c r="AH112" s="65"/>
      <c r="AI112" s="65"/>
      <c r="AJ112" s="65"/>
      <c r="AK112" s="274"/>
    </row>
    <row r="113" spans="33:37" x14ac:dyDescent="0.2">
      <c r="AG113" s="65"/>
      <c r="AH113" s="65"/>
      <c r="AI113" s="65"/>
      <c r="AJ113" s="65"/>
      <c r="AK113" s="274"/>
    </row>
    <row r="114" spans="33:37" x14ac:dyDescent="0.2">
      <c r="AG114" s="65"/>
      <c r="AH114" s="65"/>
      <c r="AI114" s="65"/>
      <c r="AJ114" s="65"/>
      <c r="AK114" s="274"/>
    </row>
    <row r="115" spans="33:37" x14ac:dyDescent="0.2">
      <c r="AG115" s="65"/>
      <c r="AH115" s="65"/>
      <c r="AI115" s="65"/>
      <c r="AJ115" s="65"/>
      <c r="AK115" s="274"/>
    </row>
    <row r="116" spans="33:37" x14ac:dyDescent="0.2">
      <c r="AG116" s="65"/>
      <c r="AH116" s="65"/>
      <c r="AI116" s="65"/>
      <c r="AJ116" s="65"/>
      <c r="AK116" s="274"/>
    </row>
    <row r="117" spans="33:37" x14ac:dyDescent="0.2">
      <c r="AG117" s="65"/>
      <c r="AH117" s="65"/>
      <c r="AI117" s="65"/>
      <c r="AJ117" s="65"/>
      <c r="AK117" s="274"/>
    </row>
    <row r="118" spans="33:37" x14ac:dyDescent="0.2">
      <c r="AG118" s="65"/>
      <c r="AH118" s="65"/>
      <c r="AI118" s="65"/>
      <c r="AJ118" s="65"/>
      <c r="AK118" s="274"/>
    </row>
    <row r="119" spans="33:37" x14ac:dyDescent="0.2">
      <c r="AG119" s="65"/>
      <c r="AH119" s="65"/>
      <c r="AI119" s="65"/>
      <c r="AJ119" s="65"/>
      <c r="AK119" s="274"/>
    </row>
    <row r="120" spans="33:37" x14ac:dyDescent="0.2">
      <c r="AG120" s="65"/>
      <c r="AH120" s="65"/>
      <c r="AI120" s="65"/>
      <c r="AJ120" s="65"/>
      <c r="AK120" s="274"/>
    </row>
    <row r="121" spans="33:37" x14ac:dyDescent="0.2">
      <c r="AG121" s="65"/>
      <c r="AH121" s="65"/>
      <c r="AI121" s="65"/>
      <c r="AJ121" s="65"/>
      <c r="AK121" s="274"/>
    </row>
    <row r="122" spans="33:37" x14ac:dyDescent="0.2">
      <c r="AG122" s="65"/>
      <c r="AH122" s="65"/>
      <c r="AI122" s="65"/>
      <c r="AJ122" s="65"/>
      <c r="AK122" s="274"/>
    </row>
    <row r="123" spans="33:37" x14ac:dyDescent="0.2">
      <c r="AG123" s="65"/>
      <c r="AH123" s="65"/>
      <c r="AI123" s="65"/>
      <c r="AJ123" s="65"/>
      <c r="AK123" s="274"/>
    </row>
    <row r="124" spans="33:37" x14ac:dyDescent="0.2">
      <c r="AG124" s="65"/>
      <c r="AH124" s="65"/>
      <c r="AI124" s="65"/>
      <c r="AJ124" s="65"/>
      <c r="AK124" s="274"/>
    </row>
    <row r="125" spans="33:37" x14ac:dyDescent="0.2">
      <c r="AG125" s="65"/>
      <c r="AH125" s="65"/>
      <c r="AI125" s="65"/>
      <c r="AJ125" s="65"/>
      <c r="AK125" s="274"/>
    </row>
    <row r="126" spans="33:37" x14ac:dyDescent="0.2">
      <c r="AG126" s="65"/>
      <c r="AH126" s="65"/>
      <c r="AI126" s="65"/>
      <c r="AJ126" s="65"/>
      <c r="AK126" s="274"/>
    </row>
    <row r="127" spans="33:37" x14ac:dyDescent="0.2">
      <c r="AG127" s="65"/>
      <c r="AH127" s="65"/>
      <c r="AI127" s="65"/>
      <c r="AJ127" s="65"/>
      <c r="AK127" s="274"/>
    </row>
    <row r="128" spans="33:37" x14ac:dyDescent="0.2">
      <c r="AG128" s="65"/>
      <c r="AH128" s="65"/>
      <c r="AI128" s="65"/>
      <c r="AJ128" s="65"/>
      <c r="AK128" s="274"/>
    </row>
    <row r="129" spans="33:37" x14ac:dyDescent="0.2">
      <c r="AG129" s="65"/>
      <c r="AH129" s="65"/>
      <c r="AI129" s="65"/>
      <c r="AJ129" s="65"/>
      <c r="AK129" s="274"/>
    </row>
    <row r="130" spans="33:37" x14ac:dyDescent="0.2">
      <c r="AG130" s="65"/>
      <c r="AH130" s="65"/>
      <c r="AI130" s="65"/>
      <c r="AJ130" s="65"/>
      <c r="AK130" s="274"/>
    </row>
    <row r="131" spans="33:37" x14ac:dyDescent="0.2">
      <c r="AG131" s="65"/>
      <c r="AH131" s="65"/>
      <c r="AI131" s="65"/>
      <c r="AJ131" s="65"/>
      <c r="AK131" s="274"/>
    </row>
    <row r="132" spans="33:37" x14ac:dyDescent="0.2">
      <c r="AG132" s="65"/>
      <c r="AH132" s="65"/>
      <c r="AI132" s="65"/>
      <c r="AJ132" s="65"/>
      <c r="AK132" s="274"/>
    </row>
    <row r="133" spans="33:37" x14ac:dyDescent="0.2">
      <c r="AG133" s="65"/>
      <c r="AH133" s="65"/>
      <c r="AI133" s="65"/>
      <c r="AJ133" s="65"/>
      <c r="AK133" s="274"/>
    </row>
    <row r="134" spans="33:37" x14ac:dyDescent="0.2">
      <c r="AG134" s="65"/>
      <c r="AH134" s="65"/>
      <c r="AI134" s="65"/>
      <c r="AJ134" s="65"/>
      <c r="AK134" s="274"/>
    </row>
    <row r="135" spans="33:37" x14ac:dyDescent="0.2">
      <c r="AG135" s="65"/>
      <c r="AH135" s="65"/>
      <c r="AI135" s="65"/>
      <c r="AJ135" s="65"/>
      <c r="AK135" s="274"/>
    </row>
    <row r="136" spans="33:37" x14ac:dyDescent="0.2">
      <c r="AG136" s="65"/>
      <c r="AH136" s="65"/>
      <c r="AI136" s="65"/>
      <c r="AJ136" s="65"/>
      <c r="AK136" s="274"/>
    </row>
    <row r="137" spans="33:37" x14ac:dyDescent="0.2">
      <c r="AG137" s="65"/>
      <c r="AH137" s="65"/>
      <c r="AI137" s="65"/>
      <c r="AJ137" s="65"/>
      <c r="AK137" s="274"/>
    </row>
    <row r="138" spans="33:37" x14ac:dyDescent="0.2">
      <c r="AG138" s="65"/>
      <c r="AH138" s="65"/>
      <c r="AI138" s="65"/>
      <c r="AJ138" s="65"/>
      <c r="AK138" s="274"/>
    </row>
    <row r="139" spans="33:37" x14ac:dyDescent="0.2">
      <c r="AG139" s="65"/>
      <c r="AH139" s="65"/>
      <c r="AI139" s="65"/>
      <c r="AJ139" s="65"/>
      <c r="AK139" s="274"/>
    </row>
    <row r="140" spans="33:37" x14ac:dyDescent="0.2">
      <c r="AG140" s="65"/>
      <c r="AH140" s="65"/>
      <c r="AI140" s="65"/>
      <c r="AJ140" s="65"/>
      <c r="AK140" s="274"/>
    </row>
    <row r="141" spans="33:37" x14ac:dyDescent="0.2">
      <c r="AG141" s="65"/>
      <c r="AH141" s="65"/>
      <c r="AI141" s="65"/>
      <c r="AJ141" s="65"/>
      <c r="AK141" s="274"/>
    </row>
    <row r="142" spans="33:37" x14ac:dyDescent="0.2">
      <c r="AG142" s="65"/>
      <c r="AH142" s="65"/>
      <c r="AI142" s="65"/>
      <c r="AJ142" s="65"/>
      <c r="AK142" s="274"/>
    </row>
    <row r="143" spans="33:37" x14ac:dyDescent="0.2">
      <c r="AG143" s="65"/>
      <c r="AH143" s="65"/>
      <c r="AI143" s="65"/>
      <c r="AJ143" s="65"/>
      <c r="AK143" s="274"/>
    </row>
    <row r="144" spans="33:37" x14ac:dyDescent="0.2">
      <c r="AG144" s="65"/>
      <c r="AH144" s="65"/>
      <c r="AI144" s="65"/>
      <c r="AJ144" s="65"/>
      <c r="AK144" s="274"/>
    </row>
    <row r="145" spans="33:37" x14ac:dyDescent="0.2">
      <c r="AG145" s="65"/>
      <c r="AH145" s="65"/>
      <c r="AI145" s="65"/>
      <c r="AJ145" s="65"/>
      <c r="AK145" s="274"/>
    </row>
    <row r="146" spans="33:37" x14ac:dyDescent="0.2">
      <c r="AG146" s="65"/>
      <c r="AH146" s="65"/>
      <c r="AI146" s="65"/>
      <c r="AJ146" s="65"/>
      <c r="AK146" s="274"/>
    </row>
    <row r="147" spans="33:37" x14ac:dyDescent="0.2">
      <c r="AG147" s="65"/>
      <c r="AH147" s="65"/>
      <c r="AI147" s="65"/>
      <c r="AJ147" s="65"/>
      <c r="AK147" s="274"/>
    </row>
    <row r="148" spans="33:37" x14ac:dyDescent="0.2">
      <c r="AG148" s="65"/>
      <c r="AH148" s="65"/>
      <c r="AI148" s="65"/>
      <c r="AJ148" s="65"/>
      <c r="AK148" s="274"/>
    </row>
    <row r="149" spans="33:37" x14ac:dyDescent="0.2">
      <c r="AG149" s="65"/>
      <c r="AH149" s="65"/>
      <c r="AI149" s="65"/>
      <c r="AJ149" s="65"/>
      <c r="AK149" s="274"/>
    </row>
    <row r="150" spans="33:37" x14ac:dyDescent="0.2">
      <c r="AG150" s="65"/>
      <c r="AH150" s="65"/>
      <c r="AI150" s="65"/>
      <c r="AJ150" s="65"/>
      <c r="AK150" s="274"/>
    </row>
    <row r="151" spans="33:37" x14ac:dyDescent="0.2">
      <c r="AG151" s="65"/>
      <c r="AH151" s="65"/>
      <c r="AI151" s="65"/>
      <c r="AJ151" s="65"/>
      <c r="AK151" s="274"/>
    </row>
    <row r="152" spans="33:37" x14ac:dyDescent="0.2">
      <c r="AG152" s="65"/>
      <c r="AH152" s="65"/>
      <c r="AI152" s="65"/>
      <c r="AJ152" s="65"/>
      <c r="AK152" s="274"/>
    </row>
    <row r="153" spans="33:37" x14ac:dyDescent="0.2">
      <c r="AG153" s="65"/>
      <c r="AH153" s="65"/>
      <c r="AI153" s="65"/>
      <c r="AJ153" s="65"/>
      <c r="AK153" s="274"/>
    </row>
    <row r="154" spans="33:37" x14ac:dyDescent="0.2">
      <c r="AG154" s="65"/>
      <c r="AH154" s="65"/>
      <c r="AI154" s="65"/>
      <c r="AJ154" s="65"/>
      <c r="AK154" s="274"/>
    </row>
    <row r="155" spans="33:37" x14ac:dyDescent="0.2">
      <c r="AG155" s="65"/>
      <c r="AH155" s="65"/>
      <c r="AI155" s="65"/>
      <c r="AJ155" s="65"/>
      <c r="AK155" s="274"/>
    </row>
    <row r="156" spans="33:37" x14ac:dyDescent="0.2">
      <c r="AG156" s="65"/>
      <c r="AH156" s="65"/>
      <c r="AI156" s="65"/>
      <c r="AJ156" s="65"/>
      <c r="AK156" s="274"/>
    </row>
    <row r="157" spans="33:37" x14ac:dyDescent="0.2">
      <c r="AG157" s="65"/>
      <c r="AH157" s="65"/>
      <c r="AI157" s="65"/>
      <c r="AJ157" s="65"/>
      <c r="AK157" s="274"/>
    </row>
    <row r="158" spans="33:37" x14ac:dyDescent="0.2">
      <c r="AG158" s="65"/>
      <c r="AH158" s="65"/>
      <c r="AI158" s="65"/>
      <c r="AJ158" s="65"/>
      <c r="AK158" s="274"/>
    </row>
    <row r="159" spans="33:37" x14ac:dyDescent="0.2">
      <c r="AG159" s="65"/>
      <c r="AH159" s="65"/>
      <c r="AI159" s="65"/>
      <c r="AJ159" s="65"/>
      <c r="AK159" s="274"/>
    </row>
    <row r="160" spans="33:37" x14ac:dyDescent="0.2">
      <c r="AG160" s="65"/>
      <c r="AH160" s="65"/>
      <c r="AI160" s="65"/>
      <c r="AJ160" s="65"/>
      <c r="AK160" s="274"/>
    </row>
    <row r="161" spans="33:37" x14ac:dyDescent="0.2">
      <c r="AG161" s="65"/>
      <c r="AH161" s="65"/>
      <c r="AI161" s="65"/>
      <c r="AJ161" s="65"/>
      <c r="AK161" s="274"/>
    </row>
    <row r="162" spans="33:37" x14ac:dyDescent="0.2">
      <c r="AG162" s="65"/>
      <c r="AH162" s="65"/>
      <c r="AI162" s="65"/>
      <c r="AJ162" s="65"/>
      <c r="AK162" s="274"/>
    </row>
    <row r="163" spans="33:37" x14ac:dyDescent="0.2">
      <c r="AG163" s="65"/>
      <c r="AH163" s="65"/>
      <c r="AI163" s="65"/>
      <c r="AJ163" s="65"/>
      <c r="AK163" s="274"/>
    </row>
    <row r="164" spans="33:37" x14ac:dyDescent="0.2">
      <c r="AG164" s="65"/>
      <c r="AH164" s="65"/>
      <c r="AI164" s="65"/>
      <c r="AJ164" s="65"/>
      <c r="AK164" s="274"/>
    </row>
    <row r="165" spans="33:37" x14ac:dyDescent="0.2">
      <c r="AG165" s="65"/>
      <c r="AH165" s="65"/>
      <c r="AI165" s="65"/>
      <c r="AJ165" s="65"/>
      <c r="AK165" s="274"/>
    </row>
    <row r="166" spans="33:37" x14ac:dyDescent="0.2">
      <c r="AG166" s="65"/>
      <c r="AH166" s="65"/>
      <c r="AI166" s="65"/>
      <c r="AJ166" s="65"/>
      <c r="AK166" s="274"/>
    </row>
    <row r="167" spans="33:37" x14ac:dyDescent="0.2">
      <c r="AG167" s="65"/>
      <c r="AH167" s="65"/>
      <c r="AI167" s="65"/>
      <c r="AJ167" s="65"/>
      <c r="AK167" s="274"/>
    </row>
    <row r="168" spans="33:37" x14ac:dyDescent="0.2">
      <c r="AG168" s="65"/>
      <c r="AH168" s="65"/>
      <c r="AI168" s="65"/>
      <c r="AJ168" s="65"/>
      <c r="AK168" s="274"/>
    </row>
    <row r="169" spans="33:37" x14ac:dyDescent="0.2">
      <c r="AG169" s="65"/>
      <c r="AH169" s="65"/>
      <c r="AI169" s="65"/>
      <c r="AJ169" s="65"/>
      <c r="AK169" s="274"/>
    </row>
    <row r="170" spans="33:37" x14ac:dyDescent="0.2">
      <c r="AG170" s="65"/>
      <c r="AH170" s="65"/>
      <c r="AI170" s="65"/>
      <c r="AJ170" s="65"/>
      <c r="AK170" s="274"/>
    </row>
    <row r="171" spans="33:37" x14ac:dyDescent="0.2">
      <c r="AG171" s="65"/>
      <c r="AH171" s="65"/>
      <c r="AI171" s="65"/>
      <c r="AJ171" s="65"/>
      <c r="AK171" s="274"/>
    </row>
    <row r="172" spans="33:37" x14ac:dyDescent="0.2">
      <c r="AG172" s="65"/>
      <c r="AH172" s="65"/>
      <c r="AI172" s="65"/>
      <c r="AJ172" s="65"/>
      <c r="AK172" s="274"/>
    </row>
    <row r="173" spans="33:37" x14ac:dyDescent="0.2">
      <c r="AG173" s="65"/>
      <c r="AH173" s="65"/>
      <c r="AI173" s="65"/>
      <c r="AJ173" s="65"/>
      <c r="AK173" s="274"/>
    </row>
    <row r="174" spans="33:37" x14ac:dyDescent="0.2">
      <c r="AG174" s="65"/>
      <c r="AH174" s="65"/>
      <c r="AI174" s="65"/>
      <c r="AJ174" s="65"/>
      <c r="AK174" s="274"/>
    </row>
    <row r="175" spans="33:37" x14ac:dyDescent="0.2">
      <c r="AG175" s="65"/>
      <c r="AH175" s="65"/>
      <c r="AI175" s="65"/>
      <c r="AJ175" s="65"/>
      <c r="AK175" s="274"/>
    </row>
    <row r="176" spans="33:37" x14ac:dyDescent="0.2">
      <c r="AG176" s="65"/>
      <c r="AH176" s="65"/>
      <c r="AI176" s="65"/>
      <c r="AJ176" s="65"/>
      <c r="AK176" s="274"/>
    </row>
    <row r="177" spans="33:37" x14ac:dyDescent="0.2">
      <c r="AG177" s="65"/>
      <c r="AH177" s="65"/>
      <c r="AI177" s="65"/>
      <c r="AJ177" s="65"/>
      <c r="AK177" s="274"/>
    </row>
    <row r="178" spans="33:37" x14ac:dyDescent="0.2">
      <c r="AG178" s="65"/>
      <c r="AH178" s="65"/>
      <c r="AI178" s="65"/>
      <c r="AJ178" s="65"/>
      <c r="AK178" s="274"/>
    </row>
    <row r="179" spans="33:37" x14ac:dyDescent="0.2">
      <c r="AG179" s="65"/>
      <c r="AH179" s="65"/>
      <c r="AI179" s="65"/>
      <c r="AJ179" s="65"/>
      <c r="AK179" s="274"/>
    </row>
    <row r="180" spans="33:37" x14ac:dyDescent="0.2">
      <c r="AG180" s="65"/>
      <c r="AH180" s="65"/>
      <c r="AI180" s="65"/>
      <c r="AJ180" s="65"/>
      <c r="AK180" s="274"/>
    </row>
    <row r="181" spans="33:37" x14ac:dyDescent="0.2">
      <c r="AG181" s="65"/>
      <c r="AH181" s="65"/>
      <c r="AI181" s="65"/>
      <c r="AJ181" s="65"/>
      <c r="AK181" s="274"/>
    </row>
    <row r="182" spans="33:37" x14ac:dyDescent="0.2">
      <c r="AG182" s="65"/>
      <c r="AH182" s="65"/>
      <c r="AI182" s="65"/>
      <c r="AJ182" s="65"/>
      <c r="AK182" s="274"/>
    </row>
    <row r="183" spans="33:37" x14ac:dyDescent="0.2">
      <c r="AG183" s="65"/>
      <c r="AH183" s="65"/>
      <c r="AI183" s="65"/>
      <c r="AJ183" s="65"/>
      <c r="AK183" s="274"/>
    </row>
    <row r="184" spans="33:37" x14ac:dyDescent="0.2">
      <c r="AG184" s="65"/>
      <c r="AH184" s="65"/>
      <c r="AI184" s="65"/>
      <c r="AJ184" s="65"/>
      <c r="AK184" s="274"/>
    </row>
    <row r="185" spans="33:37" x14ac:dyDescent="0.2">
      <c r="AG185" s="65"/>
      <c r="AH185" s="65"/>
      <c r="AI185" s="65"/>
      <c r="AJ185" s="65"/>
      <c r="AK185" s="274"/>
    </row>
    <row r="186" spans="33:37" x14ac:dyDescent="0.2">
      <c r="AG186" s="65"/>
      <c r="AH186" s="65"/>
      <c r="AI186" s="65"/>
      <c r="AJ186" s="65"/>
      <c r="AK186" s="274"/>
    </row>
    <row r="187" spans="33:37" x14ac:dyDescent="0.2">
      <c r="AG187" s="65"/>
      <c r="AH187" s="65"/>
      <c r="AI187" s="65"/>
      <c r="AJ187" s="65"/>
      <c r="AK187" s="274"/>
    </row>
    <row r="188" spans="33:37" x14ac:dyDescent="0.2">
      <c r="AG188" s="65"/>
      <c r="AH188" s="65"/>
      <c r="AI188" s="65"/>
      <c r="AJ188" s="65"/>
      <c r="AK188" s="274"/>
    </row>
    <row r="189" spans="33:37" x14ac:dyDescent="0.2">
      <c r="AG189" s="65"/>
      <c r="AH189" s="65"/>
      <c r="AI189" s="65"/>
      <c r="AJ189" s="65"/>
      <c r="AK189" s="274"/>
    </row>
    <row r="190" spans="33:37" x14ac:dyDescent="0.2">
      <c r="AG190" s="65"/>
      <c r="AH190" s="65"/>
      <c r="AI190" s="65"/>
      <c r="AJ190" s="65"/>
      <c r="AK190" s="274"/>
    </row>
    <row r="191" spans="33:37" x14ac:dyDescent="0.2">
      <c r="AG191" s="65"/>
      <c r="AH191" s="65"/>
      <c r="AI191" s="65"/>
      <c r="AJ191" s="65"/>
      <c r="AK191" s="274"/>
    </row>
    <row r="192" spans="33:37" x14ac:dyDescent="0.2">
      <c r="AG192" s="65"/>
      <c r="AH192" s="65"/>
      <c r="AI192" s="65"/>
      <c r="AJ192" s="65"/>
      <c r="AK192" s="274"/>
    </row>
    <row r="193" spans="33:37" x14ac:dyDescent="0.2">
      <c r="AG193" s="65"/>
      <c r="AH193" s="65"/>
      <c r="AI193" s="65"/>
      <c r="AJ193" s="65"/>
      <c r="AK193" s="274"/>
    </row>
    <row r="194" spans="33:37" x14ac:dyDescent="0.2">
      <c r="AG194" s="65"/>
      <c r="AH194" s="65"/>
      <c r="AI194" s="65"/>
      <c r="AJ194" s="65"/>
      <c r="AK194" s="274"/>
    </row>
    <row r="195" spans="33:37" x14ac:dyDescent="0.2">
      <c r="AG195" s="65"/>
      <c r="AH195" s="65"/>
      <c r="AI195" s="65"/>
      <c r="AJ195" s="65"/>
      <c r="AK195" s="274"/>
    </row>
    <row r="196" spans="33:37" x14ac:dyDescent="0.2">
      <c r="AG196" s="65"/>
      <c r="AH196" s="65"/>
      <c r="AI196" s="65"/>
      <c r="AJ196" s="65"/>
      <c r="AK196" s="274"/>
    </row>
    <row r="197" spans="33:37" x14ac:dyDescent="0.2">
      <c r="AG197" s="65"/>
      <c r="AH197" s="65"/>
      <c r="AI197" s="65"/>
      <c r="AJ197" s="65"/>
      <c r="AK197" s="274"/>
    </row>
    <row r="198" spans="33:37" x14ac:dyDescent="0.2">
      <c r="AG198" s="65"/>
      <c r="AH198" s="65"/>
      <c r="AI198" s="65"/>
      <c r="AJ198" s="65"/>
      <c r="AK198" s="274"/>
    </row>
    <row r="199" spans="33:37" x14ac:dyDescent="0.2">
      <c r="AG199" s="65"/>
      <c r="AH199" s="65"/>
      <c r="AI199" s="65"/>
      <c r="AJ199" s="65"/>
      <c r="AK199" s="274"/>
    </row>
    <row r="200" spans="33:37" x14ac:dyDescent="0.2">
      <c r="AG200" s="65"/>
      <c r="AH200" s="65"/>
      <c r="AI200" s="65"/>
      <c r="AJ200" s="65"/>
      <c r="AK200" s="274"/>
    </row>
    <row r="201" spans="33:37" x14ac:dyDescent="0.2">
      <c r="AG201" s="65"/>
      <c r="AH201" s="65"/>
      <c r="AI201" s="65"/>
      <c r="AJ201" s="65"/>
      <c r="AK201" s="274"/>
    </row>
    <row r="202" spans="33:37" x14ac:dyDescent="0.2">
      <c r="AG202" s="65"/>
      <c r="AH202" s="65"/>
      <c r="AI202" s="65"/>
      <c r="AJ202" s="65"/>
      <c r="AK202" s="274"/>
    </row>
    <row r="203" spans="33:37" x14ac:dyDescent="0.2">
      <c r="AG203" s="65"/>
      <c r="AH203" s="65"/>
      <c r="AI203" s="65"/>
      <c r="AJ203" s="65"/>
      <c r="AK203" s="274"/>
    </row>
    <row r="204" spans="33:37" x14ac:dyDescent="0.2">
      <c r="AG204" s="65"/>
      <c r="AH204" s="65"/>
      <c r="AI204" s="65"/>
      <c r="AJ204" s="65"/>
      <c r="AK204" s="274"/>
    </row>
    <row r="205" spans="33:37" x14ac:dyDescent="0.2">
      <c r="AG205" s="65"/>
      <c r="AH205" s="65"/>
      <c r="AI205" s="65"/>
      <c r="AJ205" s="65"/>
      <c r="AK205" s="274"/>
    </row>
    <row r="206" spans="33:37" x14ac:dyDescent="0.2">
      <c r="AG206" s="65"/>
      <c r="AH206" s="65"/>
      <c r="AI206" s="65"/>
      <c r="AJ206" s="65"/>
      <c r="AK206" s="274"/>
    </row>
    <row r="207" spans="33:37" x14ac:dyDescent="0.2">
      <c r="AG207" s="65"/>
      <c r="AH207" s="65"/>
      <c r="AI207" s="65"/>
      <c r="AJ207" s="65"/>
      <c r="AK207" s="274"/>
    </row>
    <row r="208" spans="33:37" x14ac:dyDescent="0.2">
      <c r="AG208" s="65"/>
      <c r="AH208" s="65"/>
      <c r="AI208" s="65"/>
      <c r="AJ208" s="65"/>
      <c r="AK208" s="274"/>
    </row>
    <row r="209" spans="33:37" x14ac:dyDescent="0.2">
      <c r="AG209" s="65"/>
      <c r="AH209" s="65"/>
      <c r="AI209" s="65"/>
      <c r="AJ209" s="65"/>
      <c r="AK209" s="274"/>
    </row>
    <row r="210" spans="33:37" x14ac:dyDescent="0.2">
      <c r="AG210" s="65"/>
      <c r="AH210" s="65"/>
      <c r="AI210" s="65"/>
      <c r="AJ210" s="65"/>
      <c r="AK210" s="274"/>
    </row>
    <row r="211" spans="33:37" x14ac:dyDescent="0.2">
      <c r="AG211" s="65"/>
      <c r="AH211" s="65"/>
      <c r="AI211" s="65"/>
      <c r="AJ211" s="65"/>
      <c r="AK211" s="274"/>
    </row>
    <row r="212" spans="33:37" x14ac:dyDescent="0.2">
      <c r="AG212" s="65"/>
      <c r="AH212" s="65"/>
      <c r="AI212" s="65"/>
      <c r="AJ212" s="65"/>
      <c r="AK212" s="274"/>
    </row>
    <row r="213" spans="33:37" x14ac:dyDescent="0.2">
      <c r="AG213" s="65"/>
      <c r="AH213" s="65"/>
      <c r="AI213" s="65"/>
      <c r="AJ213" s="65"/>
      <c r="AK213" s="274"/>
    </row>
    <row r="214" spans="33:37" x14ac:dyDescent="0.2">
      <c r="AG214" s="65"/>
      <c r="AH214" s="65"/>
      <c r="AI214" s="65"/>
      <c r="AJ214" s="65"/>
      <c r="AK214" s="274"/>
    </row>
    <row r="215" spans="33:37" x14ac:dyDescent="0.2">
      <c r="AG215" s="65"/>
      <c r="AH215" s="65"/>
      <c r="AI215" s="65"/>
      <c r="AJ215" s="65"/>
      <c r="AK215" s="274"/>
    </row>
    <row r="216" spans="33:37" x14ac:dyDescent="0.2">
      <c r="AG216" s="65"/>
      <c r="AH216" s="65"/>
      <c r="AI216" s="65"/>
      <c r="AJ216" s="65"/>
      <c r="AK216" s="274"/>
    </row>
    <row r="217" spans="33:37" x14ac:dyDescent="0.2">
      <c r="AG217" s="65"/>
      <c r="AH217" s="65"/>
      <c r="AI217" s="65"/>
      <c r="AJ217" s="65"/>
      <c r="AK217" s="274"/>
    </row>
    <row r="218" spans="33:37" x14ac:dyDescent="0.2">
      <c r="AG218" s="65"/>
      <c r="AH218" s="65"/>
      <c r="AI218" s="65"/>
      <c r="AJ218" s="65"/>
      <c r="AK218" s="274"/>
    </row>
    <row r="219" spans="33:37" x14ac:dyDescent="0.2">
      <c r="AG219" s="65"/>
      <c r="AH219" s="65"/>
      <c r="AI219" s="65"/>
      <c r="AJ219" s="65"/>
      <c r="AK219" s="274"/>
    </row>
    <row r="220" spans="33:37" x14ac:dyDescent="0.2">
      <c r="AG220" s="65"/>
      <c r="AH220" s="65"/>
      <c r="AI220" s="65"/>
      <c r="AJ220" s="65"/>
      <c r="AK220" s="274"/>
    </row>
    <row r="221" spans="33:37" x14ac:dyDescent="0.2">
      <c r="AG221" s="65"/>
      <c r="AH221" s="65"/>
      <c r="AI221" s="65"/>
      <c r="AJ221" s="65"/>
      <c r="AK221" s="274"/>
    </row>
    <row r="222" spans="33:37" x14ac:dyDescent="0.2">
      <c r="AG222" s="65"/>
      <c r="AH222" s="65"/>
      <c r="AI222" s="65"/>
      <c r="AJ222" s="65"/>
      <c r="AK222" s="274"/>
    </row>
    <row r="223" spans="33:37" x14ac:dyDescent="0.2">
      <c r="AG223" s="65"/>
      <c r="AH223" s="65"/>
      <c r="AI223" s="65"/>
      <c r="AJ223" s="65"/>
      <c r="AK223" s="274"/>
    </row>
    <row r="224" spans="33:37" x14ac:dyDescent="0.2">
      <c r="AG224" s="65"/>
      <c r="AH224" s="65"/>
      <c r="AI224" s="65"/>
      <c r="AJ224" s="65"/>
      <c r="AK224" s="274"/>
    </row>
    <row r="225" spans="33:37" x14ac:dyDescent="0.2">
      <c r="AG225" s="65"/>
      <c r="AH225" s="65"/>
      <c r="AI225" s="65"/>
      <c r="AJ225" s="65"/>
      <c r="AK225" s="274"/>
    </row>
    <row r="226" spans="33:37" x14ac:dyDescent="0.2">
      <c r="AG226" s="65"/>
      <c r="AH226" s="65"/>
      <c r="AI226" s="65"/>
      <c r="AJ226" s="65"/>
      <c r="AK226" s="274"/>
    </row>
    <row r="227" spans="33:37" x14ac:dyDescent="0.2">
      <c r="AG227" s="65"/>
      <c r="AH227" s="65"/>
      <c r="AI227" s="65"/>
      <c r="AJ227" s="65"/>
      <c r="AK227" s="274"/>
    </row>
    <row r="228" spans="33:37" x14ac:dyDescent="0.2">
      <c r="AG228" s="65"/>
      <c r="AH228" s="65"/>
      <c r="AI228" s="65"/>
      <c r="AJ228" s="65"/>
      <c r="AK228" s="274"/>
    </row>
    <row r="229" spans="33:37" x14ac:dyDescent="0.2">
      <c r="AG229" s="65"/>
      <c r="AH229" s="65"/>
      <c r="AI229" s="65"/>
      <c r="AJ229" s="65"/>
      <c r="AK229" s="274"/>
    </row>
    <row r="230" spans="33:37" x14ac:dyDescent="0.2">
      <c r="AG230" s="65"/>
      <c r="AH230" s="65"/>
      <c r="AI230" s="65"/>
      <c r="AJ230" s="65"/>
      <c r="AK230" s="274"/>
    </row>
    <row r="231" spans="33:37" x14ac:dyDescent="0.2">
      <c r="AG231" s="65"/>
      <c r="AH231" s="65"/>
      <c r="AI231" s="65"/>
      <c r="AJ231" s="65"/>
      <c r="AK231" s="274"/>
    </row>
    <row r="232" spans="33:37" x14ac:dyDescent="0.2">
      <c r="AG232" s="65"/>
      <c r="AH232" s="65"/>
      <c r="AI232" s="65"/>
      <c r="AJ232" s="65"/>
      <c r="AK232" s="274"/>
    </row>
    <row r="233" spans="33:37" x14ac:dyDescent="0.2">
      <c r="AG233" s="65"/>
      <c r="AH233" s="65"/>
      <c r="AI233" s="65"/>
      <c r="AJ233" s="65"/>
      <c r="AK233" s="274"/>
    </row>
    <row r="234" spans="33:37" x14ac:dyDescent="0.2">
      <c r="AG234" s="65"/>
      <c r="AH234" s="65"/>
      <c r="AI234" s="65"/>
      <c r="AJ234" s="65"/>
      <c r="AK234" s="274"/>
    </row>
    <row r="235" spans="33:37" x14ac:dyDescent="0.2">
      <c r="AG235" s="65"/>
      <c r="AH235" s="65"/>
      <c r="AI235" s="65"/>
      <c r="AJ235" s="65"/>
      <c r="AK235" s="274"/>
    </row>
    <row r="236" spans="33:37" x14ac:dyDescent="0.2">
      <c r="AG236" s="65"/>
      <c r="AH236" s="65"/>
      <c r="AI236" s="65"/>
      <c r="AJ236" s="65"/>
      <c r="AK236" s="274"/>
    </row>
    <row r="237" spans="33:37" x14ac:dyDescent="0.2">
      <c r="AG237" s="65"/>
      <c r="AH237" s="65"/>
      <c r="AI237" s="65"/>
      <c r="AJ237" s="65"/>
      <c r="AK237" s="274"/>
    </row>
    <row r="238" spans="33:37" x14ac:dyDescent="0.2">
      <c r="AG238" s="65"/>
      <c r="AH238" s="65"/>
      <c r="AI238" s="65"/>
      <c r="AJ238" s="65"/>
      <c r="AK238" s="274"/>
    </row>
    <row r="239" spans="33:37" x14ac:dyDescent="0.2">
      <c r="AG239" s="65"/>
      <c r="AH239" s="65"/>
      <c r="AI239" s="65"/>
      <c r="AJ239" s="65"/>
      <c r="AK239" s="274"/>
    </row>
    <row r="240" spans="33:37" x14ac:dyDescent="0.2">
      <c r="AG240" s="65"/>
      <c r="AH240" s="65"/>
      <c r="AI240" s="65"/>
      <c r="AJ240" s="65"/>
      <c r="AK240" s="274"/>
    </row>
    <row r="241" spans="33:37" x14ac:dyDescent="0.2">
      <c r="AG241" s="65"/>
      <c r="AH241" s="65"/>
      <c r="AI241" s="65"/>
      <c r="AJ241" s="65"/>
      <c r="AK241" s="274"/>
    </row>
    <row r="242" spans="33:37" x14ac:dyDescent="0.2">
      <c r="AG242" s="65"/>
      <c r="AH242" s="65"/>
      <c r="AI242" s="65"/>
      <c r="AJ242" s="65"/>
      <c r="AK242" s="274"/>
    </row>
    <row r="243" spans="33:37" x14ac:dyDescent="0.2">
      <c r="AG243" s="65"/>
      <c r="AH243" s="65"/>
      <c r="AI243" s="65"/>
      <c r="AJ243" s="65"/>
      <c r="AK243" s="274"/>
    </row>
    <row r="244" spans="33:37" x14ac:dyDescent="0.2">
      <c r="AG244" s="65"/>
      <c r="AH244" s="65"/>
      <c r="AI244" s="65"/>
      <c r="AJ244" s="65"/>
      <c r="AK244" s="274"/>
    </row>
    <row r="245" spans="33:37" x14ac:dyDescent="0.2">
      <c r="AG245" s="65"/>
      <c r="AH245" s="65"/>
      <c r="AI245" s="65"/>
      <c r="AJ245" s="65"/>
      <c r="AK245" s="274"/>
    </row>
    <row r="246" spans="33:37" x14ac:dyDescent="0.2">
      <c r="AG246" s="65"/>
      <c r="AH246" s="65"/>
      <c r="AI246" s="65"/>
      <c r="AJ246" s="65"/>
      <c r="AK246" s="274"/>
    </row>
    <row r="247" spans="33:37" x14ac:dyDescent="0.2">
      <c r="AG247" s="65"/>
      <c r="AH247" s="65"/>
      <c r="AI247" s="65"/>
      <c r="AJ247" s="65"/>
      <c r="AK247" s="274"/>
    </row>
    <row r="248" spans="33:37" x14ac:dyDescent="0.2">
      <c r="AG248" s="65"/>
      <c r="AH248" s="65"/>
      <c r="AI248" s="65"/>
      <c r="AJ248" s="65"/>
      <c r="AK248" s="274"/>
    </row>
    <row r="249" spans="33:37" x14ac:dyDescent="0.2">
      <c r="AG249" s="65"/>
      <c r="AH249" s="65"/>
      <c r="AI249" s="65"/>
      <c r="AJ249" s="65"/>
      <c r="AK249" s="274"/>
    </row>
    <row r="250" spans="33:37" x14ac:dyDescent="0.2">
      <c r="AG250" s="65"/>
      <c r="AH250" s="65"/>
      <c r="AI250" s="65"/>
      <c r="AJ250" s="65"/>
      <c r="AK250" s="274"/>
    </row>
    <row r="251" spans="33:37" x14ac:dyDescent="0.2">
      <c r="AG251" s="65"/>
      <c r="AH251" s="65"/>
      <c r="AI251" s="65"/>
      <c r="AJ251" s="65"/>
      <c r="AK251" s="274"/>
    </row>
    <row r="252" spans="33:37" x14ac:dyDescent="0.2">
      <c r="AG252" s="65"/>
      <c r="AH252" s="65"/>
      <c r="AI252" s="65"/>
      <c r="AJ252" s="65"/>
      <c r="AK252" s="274"/>
    </row>
    <row r="253" spans="33:37" x14ac:dyDescent="0.2">
      <c r="AG253" s="65"/>
      <c r="AH253" s="65"/>
      <c r="AI253" s="65"/>
      <c r="AJ253" s="65"/>
      <c r="AK253" s="274"/>
    </row>
    <row r="254" spans="33:37" x14ac:dyDescent="0.2">
      <c r="AG254" s="65"/>
      <c r="AH254" s="65"/>
      <c r="AI254" s="65"/>
      <c r="AJ254" s="65"/>
      <c r="AK254" s="274"/>
    </row>
    <row r="255" spans="33:37" x14ac:dyDescent="0.2">
      <c r="AG255" s="65"/>
      <c r="AH255" s="65"/>
      <c r="AI255" s="65"/>
      <c r="AJ255" s="65"/>
      <c r="AK255" s="274"/>
    </row>
    <row r="256" spans="33:37" x14ac:dyDescent="0.2">
      <c r="AG256" s="65"/>
      <c r="AH256" s="65"/>
      <c r="AI256" s="65"/>
      <c r="AJ256" s="65"/>
      <c r="AK256" s="274"/>
    </row>
    <row r="257" spans="33:37" x14ac:dyDescent="0.2">
      <c r="AG257" s="65"/>
      <c r="AH257" s="65"/>
      <c r="AI257" s="65"/>
      <c r="AJ257" s="65"/>
      <c r="AK257" s="274"/>
    </row>
    <row r="258" spans="33:37" x14ac:dyDescent="0.2">
      <c r="AG258" s="65"/>
      <c r="AH258" s="65"/>
      <c r="AI258" s="65"/>
      <c r="AJ258" s="65"/>
      <c r="AK258" s="274"/>
    </row>
  </sheetData>
  <sheetProtection algorithmName="SHA-512" hashValue="8zXyjpTaba+ACMQnYR00C2Aybd7G4lXWHVpO87DEVg56FCDuC5mfBZXLhqS62BJeEelhE23WQ/19cUns6IAivQ==" saltValue="cO8xCItg3VklFqmDso+5ow==" spinCount="100000" sheet="1" formatCells="0" formatColumns="0" formatRows="0" insertColumns="0" insertRows="0" insertHyperlinks="0" deleteColumns="0" deleteRows="0" selectLockedCells="1" sort="0" autoFilter="0" pivotTables="0"/>
  <mergeCells count="5">
    <mergeCell ref="G6:L6"/>
    <mergeCell ref="F3:AJ3"/>
    <mergeCell ref="M6:R6"/>
    <mergeCell ref="S6:X6"/>
    <mergeCell ref="Y6:AD6"/>
  </mergeCells>
  <phoneticPr fontId="29" type="noConversion"/>
  <conditionalFormatting sqref="G51:G1048576 G6:G7">
    <cfRule type="duplicateValues" dxfId="0" priority="8"/>
  </conditionalFormatting>
  <pageMargins left="0.11811023622047245" right="0.19685039370078741" top="0.35433070866141736" bottom="0.35433070866141736" header="0.31496062992125984" footer="0.31496062992125984"/>
  <pageSetup paperSize="9" scale="53" fitToHeight="0" orientation="landscape"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B9D6F-8006-4EA7-BAB5-309E92B4519D}">
  <dimension ref="A1:F34"/>
  <sheetViews>
    <sheetView workbookViewId="0">
      <selection activeCell="B8" sqref="B8"/>
    </sheetView>
  </sheetViews>
  <sheetFormatPr defaultRowHeight="15" x14ac:dyDescent="0.25"/>
  <cols>
    <col min="2" max="2" width="31.5703125" customWidth="1"/>
    <col min="4" max="5" width="12" style="251" bestFit="1" customWidth="1"/>
    <col min="6" max="6" width="12" bestFit="1" customWidth="1"/>
  </cols>
  <sheetData>
    <row r="1" spans="1:6" x14ac:dyDescent="0.25">
      <c r="A1">
        <v>1</v>
      </c>
      <c r="B1">
        <v>2</v>
      </c>
      <c r="C1">
        <v>3</v>
      </c>
      <c r="D1" s="251">
        <v>4</v>
      </c>
      <c r="E1" s="251">
        <v>5</v>
      </c>
      <c r="F1" t="s">
        <v>398</v>
      </c>
    </row>
    <row r="2" spans="1:6" x14ac:dyDescent="0.25">
      <c r="A2">
        <v>1</v>
      </c>
      <c r="B2" t="s">
        <v>194</v>
      </c>
      <c r="D2" s="251">
        <v>200</v>
      </c>
      <c r="E2" s="251">
        <f t="shared" ref="E2:E32" si="0">C2*D2</f>
        <v>0</v>
      </c>
    </row>
    <row r="3" spans="1:6" x14ac:dyDescent="0.25">
      <c r="A3">
        <v>2</v>
      </c>
      <c r="B3" t="s">
        <v>196</v>
      </c>
      <c r="D3" s="251">
        <v>200</v>
      </c>
      <c r="E3" s="251">
        <f t="shared" si="0"/>
        <v>0</v>
      </c>
    </row>
    <row r="4" spans="1:6" x14ac:dyDescent="0.25">
      <c r="A4">
        <v>3</v>
      </c>
      <c r="B4" t="s">
        <v>197</v>
      </c>
      <c r="D4" s="251">
        <v>50</v>
      </c>
      <c r="E4" s="251">
        <f t="shared" si="0"/>
        <v>0</v>
      </c>
    </row>
    <row r="5" spans="1:6" x14ac:dyDescent="0.25">
      <c r="A5">
        <v>4</v>
      </c>
      <c r="B5" t="s">
        <v>200</v>
      </c>
      <c r="D5" s="251">
        <v>80</v>
      </c>
      <c r="E5" s="251">
        <f t="shared" si="0"/>
        <v>0</v>
      </c>
    </row>
    <row r="6" spans="1:6" x14ac:dyDescent="0.25">
      <c r="A6">
        <v>5</v>
      </c>
      <c r="B6" t="s">
        <v>202</v>
      </c>
      <c r="D6" s="251">
        <v>50</v>
      </c>
      <c r="E6" s="251">
        <f t="shared" si="0"/>
        <v>0</v>
      </c>
    </row>
    <row r="7" spans="1:6" x14ac:dyDescent="0.25">
      <c r="A7">
        <v>6</v>
      </c>
      <c r="B7" t="s">
        <v>205</v>
      </c>
      <c r="D7" s="251">
        <v>1150</v>
      </c>
      <c r="E7" s="251">
        <f t="shared" si="0"/>
        <v>0</v>
      </c>
    </row>
    <row r="8" spans="1:6" x14ac:dyDescent="0.25">
      <c r="A8">
        <v>7</v>
      </c>
      <c r="B8" t="s">
        <v>206</v>
      </c>
      <c r="D8" s="251">
        <v>120</v>
      </c>
      <c r="E8" s="251">
        <f t="shared" si="0"/>
        <v>0</v>
      </c>
    </row>
    <row r="9" spans="1:6" x14ac:dyDescent="0.25">
      <c r="A9">
        <v>8</v>
      </c>
      <c r="B9" t="s">
        <v>207</v>
      </c>
      <c r="D9" s="251">
        <v>150</v>
      </c>
      <c r="E9" s="251">
        <f t="shared" si="0"/>
        <v>0</v>
      </c>
    </row>
    <row r="10" spans="1:6" x14ac:dyDescent="0.25">
      <c r="A10">
        <v>9</v>
      </c>
      <c r="B10" t="s">
        <v>208</v>
      </c>
      <c r="D10" s="251">
        <v>500</v>
      </c>
      <c r="E10" s="251">
        <f t="shared" si="0"/>
        <v>0</v>
      </c>
    </row>
    <row r="11" spans="1:6" x14ac:dyDescent="0.25">
      <c r="A11">
        <v>10</v>
      </c>
      <c r="B11" t="s">
        <v>209</v>
      </c>
      <c r="D11" s="251">
        <v>500</v>
      </c>
      <c r="E11" s="251">
        <f t="shared" si="0"/>
        <v>0</v>
      </c>
    </row>
    <row r="12" spans="1:6" x14ac:dyDescent="0.25">
      <c r="A12">
        <v>11</v>
      </c>
      <c r="B12" t="s">
        <v>211</v>
      </c>
      <c r="D12" s="251">
        <v>200</v>
      </c>
      <c r="E12" s="251">
        <f t="shared" si="0"/>
        <v>0</v>
      </c>
    </row>
    <row r="13" spans="1:6" x14ac:dyDescent="0.25">
      <c r="A13">
        <v>12</v>
      </c>
      <c r="B13" t="s">
        <v>214</v>
      </c>
      <c r="D13" s="251">
        <v>100</v>
      </c>
      <c r="E13" s="251">
        <f t="shared" si="0"/>
        <v>0</v>
      </c>
    </row>
    <row r="14" spans="1:6" x14ac:dyDescent="0.25">
      <c r="A14">
        <v>13</v>
      </c>
      <c r="B14" t="s">
        <v>216</v>
      </c>
      <c r="D14" s="251">
        <v>100</v>
      </c>
      <c r="E14" s="251">
        <f t="shared" si="0"/>
        <v>0</v>
      </c>
    </row>
    <row r="15" spans="1:6" x14ac:dyDescent="0.25">
      <c r="A15">
        <v>14</v>
      </c>
      <c r="B15" t="s">
        <v>157</v>
      </c>
      <c r="D15" s="251">
        <v>120</v>
      </c>
      <c r="E15" s="251">
        <f t="shared" si="0"/>
        <v>0</v>
      </c>
    </row>
    <row r="16" spans="1:6" x14ac:dyDescent="0.25">
      <c r="A16">
        <v>15</v>
      </c>
      <c r="B16" t="s">
        <v>217</v>
      </c>
      <c r="D16" s="251">
        <v>120</v>
      </c>
      <c r="E16" s="251">
        <f t="shared" si="0"/>
        <v>0</v>
      </c>
    </row>
    <row r="17" spans="1:5" x14ac:dyDescent="0.25">
      <c r="A17" s="252">
        <v>16</v>
      </c>
      <c r="B17" t="s">
        <v>219</v>
      </c>
      <c r="D17" s="251">
        <v>150</v>
      </c>
      <c r="E17" s="251">
        <f t="shared" si="0"/>
        <v>0</v>
      </c>
    </row>
    <row r="18" spans="1:5" x14ac:dyDescent="0.25">
      <c r="A18">
        <v>17</v>
      </c>
      <c r="B18" t="s">
        <v>222</v>
      </c>
      <c r="D18" s="251">
        <v>280</v>
      </c>
      <c r="E18" s="251">
        <f t="shared" si="0"/>
        <v>0</v>
      </c>
    </row>
    <row r="19" spans="1:5" x14ac:dyDescent="0.25">
      <c r="A19">
        <v>18</v>
      </c>
      <c r="B19" t="s">
        <v>224</v>
      </c>
      <c r="D19" s="251">
        <v>100</v>
      </c>
      <c r="E19" s="251">
        <f t="shared" si="0"/>
        <v>0</v>
      </c>
    </row>
    <row r="20" spans="1:5" x14ac:dyDescent="0.25">
      <c r="A20">
        <v>19</v>
      </c>
      <c r="B20" t="s">
        <v>225</v>
      </c>
      <c r="D20" s="251">
        <v>80</v>
      </c>
      <c r="E20" s="251">
        <f t="shared" si="0"/>
        <v>0</v>
      </c>
    </row>
    <row r="21" spans="1:5" x14ac:dyDescent="0.25">
      <c r="A21">
        <v>20</v>
      </c>
      <c r="B21" t="s">
        <v>226</v>
      </c>
      <c r="D21" s="251">
        <v>400</v>
      </c>
      <c r="E21" s="251">
        <f t="shared" si="0"/>
        <v>0</v>
      </c>
    </row>
    <row r="22" spans="1:5" x14ac:dyDescent="0.25">
      <c r="A22" s="252">
        <v>21</v>
      </c>
      <c r="B22" t="s">
        <v>228</v>
      </c>
      <c r="D22" s="251">
        <v>50</v>
      </c>
      <c r="E22" s="251">
        <f t="shared" si="0"/>
        <v>0</v>
      </c>
    </row>
    <row r="23" spans="1:5" x14ac:dyDescent="0.25">
      <c r="A23">
        <v>22</v>
      </c>
      <c r="B23" t="s">
        <v>229</v>
      </c>
      <c r="D23" s="251">
        <v>800</v>
      </c>
      <c r="E23" s="251">
        <f t="shared" si="0"/>
        <v>0</v>
      </c>
    </row>
    <row r="24" spans="1:5" x14ac:dyDescent="0.25">
      <c r="A24">
        <v>23</v>
      </c>
      <c r="B24" t="s">
        <v>230</v>
      </c>
      <c r="D24" s="251">
        <v>300</v>
      </c>
      <c r="E24" s="251">
        <f t="shared" si="0"/>
        <v>0</v>
      </c>
    </row>
    <row r="25" spans="1:5" x14ac:dyDescent="0.25">
      <c r="A25" s="252">
        <v>24</v>
      </c>
      <c r="B25" t="s">
        <v>233</v>
      </c>
      <c r="D25" s="251">
        <v>37500</v>
      </c>
      <c r="E25" s="251">
        <f t="shared" si="0"/>
        <v>0</v>
      </c>
    </row>
    <row r="26" spans="1:5" x14ac:dyDescent="0.25">
      <c r="A26">
        <v>25</v>
      </c>
      <c r="B26" t="s">
        <v>236</v>
      </c>
      <c r="D26" s="251">
        <v>250</v>
      </c>
      <c r="E26" s="251">
        <f t="shared" si="0"/>
        <v>0</v>
      </c>
    </row>
    <row r="27" spans="1:5" x14ac:dyDescent="0.25">
      <c r="A27">
        <v>26</v>
      </c>
      <c r="B27" t="s">
        <v>238</v>
      </c>
      <c r="D27" s="251">
        <v>600</v>
      </c>
      <c r="E27" s="251">
        <f t="shared" si="0"/>
        <v>0</v>
      </c>
    </row>
    <row r="28" spans="1:5" x14ac:dyDescent="0.25">
      <c r="A28">
        <v>27</v>
      </c>
      <c r="B28" t="s">
        <v>241</v>
      </c>
      <c r="D28" s="251">
        <v>15000</v>
      </c>
      <c r="E28" s="251">
        <f t="shared" si="0"/>
        <v>0</v>
      </c>
    </row>
    <row r="29" spans="1:5" x14ac:dyDescent="0.25">
      <c r="A29">
        <v>28</v>
      </c>
      <c r="B29" t="s">
        <v>242</v>
      </c>
      <c r="D29" s="251">
        <v>40000</v>
      </c>
      <c r="E29" s="251">
        <f t="shared" si="0"/>
        <v>0</v>
      </c>
    </row>
    <row r="30" spans="1:5" x14ac:dyDescent="0.25">
      <c r="A30">
        <v>29</v>
      </c>
      <c r="B30" t="s">
        <v>243</v>
      </c>
      <c r="D30" s="251">
        <v>30</v>
      </c>
      <c r="E30" s="251">
        <f t="shared" si="0"/>
        <v>0</v>
      </c>
    </row>
    <row r="31" spans="1:5" x14ac:dyDescent="0.25">
      <c r="A31">
        <v>30</v>
      </c>
      <c r="B31" t="s">
        <v>244</v>
      </c>
      <c r="D31" s="251">
        <v>750</v>
      </c>
      <c r="E31" s="251">
        <f t="shared" si="0"/>
        <v>0</v>
      </c>
    </row>
    <row r="32" spans="1:5" x14ac:dyDescent="0.25">
      <c r="A32">
        <v>31</v>
      </c>
      <c r="B32" t="s">
        <v>246</v>
      </c>
      <c r="D32" s="251">
        <v>100</v>
      </c>
      <c r="E32" s="251">
        <f t="shared" si="0"/>
        <v>0</v>
      </c>
    </row>
    <row r="33" spans="5:6" x14ac:dyDescent="0.25">
      <c r="E33" s="251">
        <f>SUM(E2:E32)</f>
        <v>0</v>
      </c>
      <c r="F33" s="251">
        <v>96528.1</v>
      </c>
    </row>
    <row r="34" spans="5:6" x14ac:dyDescent="0.25">
      <c r="E34" s="251">
        <f>E33-F33</f>
        <v>-96528.1</v>
      </c>
    </row>
  </sheetData>
  <autoFilter ref="A1:E34" xr:uid="{C47B9D6F-8006-4EA7-BAB5-309E92B4519D}">
    <sortState xmlns:xlrd2="http://schemas.microsoft.com/office/spreadsheetml/2017/richdata2" ref="A2:E34">
      <sortCondition ref="A1:A32"/>
    </sortState>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I49"/>
  <sheetViews>
    <sheetView zoomScale="80" zoomScaleNormal="80" workbookViewId="0">
      <selection activeCell="C8" sqref="C8"/>
    </sheetView>
  </sheetViews>
  <sheetFormatPr defaultColWidth="9.140625" defaultRowHeight="15" x14ac:dyDescent="0.25"/>
  <cols>
    <col min="1" max="2" width="3.42578125" style="65" customWidth="1"/>
    <col min="3" max="3" width="22" style="58" customWidth="1"/>
    <col min="4" max="4" width="26.5703125" style="58" customWidth="1"/>
    <col min="5" max="5" width="27.5703125" style="58" customWidth="1"/>
    <col min="6" max="6" width="14.28515625" style="58" hidden="1" customWidth="1"/>
    <col min="7" max="7" width="8.28515625" style="58" customWidth="1"/>
    <col min="8" max="9" width="7.42578125" style="65" customWidth="1"/>
    <col min="10" max="10" width="5.140625" style="65" customWidth="1"/>
    <col min="11" max="11" width="15.28515625" style="275" customWidth="1"/>
    <col min="12" max="12" width="24.5703125" style="65" customWidth="1"/>
    <col min="13" max="13" width="11.85546875" style="298" customWidth="1"/>
    <col min="14" max="14" width="15.140625" style="65" customWidth="1"/>
    <col min="15" max="15" width="7.5703125" style="65" customWidth="1"/>
    <col min="16" max="16" width="20.5703125" style="65" customWidth="1"/>
    <col min="17" max="17" width="6.42578125" style="65" customWidth="1"/>
    <col min="18" max="18" width="8.140625" style="65" customWidth="1"/>
    <col min="19" max="19" width="8.140625" style="298" customWidth="1"/>
    <col min="20" max="20" width="11.85546875" style="65" customWidth="1"/>
    <col min="21" max="21" width="5.5703125" style="65" customWidth="1"/>
    <col min="22" max="22" width="10.85546875" style="65" customWidth="1"/>
    <col min="23" max="23" width="7.140625" style="65" customWidth="1"/>
    <col min="24" max="24" width="8.140625" style="65" customWidth="1"/>
    <col min="25" max="25" width="8.7109375" style="298" customWidth="1"/>
    <col min="26" max="26" width="12.5703125" style="116" hidden="1" customWidth="1"/>
    <col min="27" max="27" width="5.5703125" style="116" hidden="1" customWidth="1"/>
    <col min="28" max="28" width="11.140625" style="116" hidden="1" customWidth="1"/>
    <col min="29" max="29" width="7.42578125" style="65" hidden="1" customWidth="1"/>
    <col min="30" max="30" width="8.7109375" style="116" hidden="1" customWidth="1"/>
    <col min="31" max="31" width="9" style="323" hidden="1" customWidth="1"/>
    <col min="32" max="32" width="9.140625" style="65"/>
    <col min="33" max="33" width="9.42578125" style="65" customWidth="1"/>
    <col min="34" max="34" width="8.28515625" style="65" customWidth="1"/>
    <col min="35" max="35" width="6.7109375" style="65" customWidth="1"/>
    <col min="36" max="36" width="13.85546875" style="65" customWidth="1"/>
    <col min="37" max="37" width="13.85546875" style="65" bestFit="1" customWidth="1"/>
    <col min="38" max="38" width="16.7109375" style="65" customWidth="1"/>
    <col min="39" max="39" width="14.85546875" style="65" customWidth="1"/>
    <col min="40" max="16384" width="9.140625" style="65"/>
  </cols>
  <sheetData>
    <row r="1" spans="1:35" ht="43.5" customHeight="1" x14ac:dyDescent="0.25">
      <c r="C1" s="354" t="s">
        <v>18</v>
      </c>
      <c r="D1" s="354"/>
      <c r="E1" s="354"/>
      <c r="F1" s="354"/>
      <c r="G1" s="354"/>
      <c r="H1" s="354"/>
      <c r="I1" s="354"/>
      <c r="J1" s="354"/>
      <c r="K1" s="354"/>
      <c r="L1" s="354"/>
      <c r="M1" s="272"/>
      <c r="N1" s="272"/>
      <c r="O1" s="272"/>
      <c r="P1" s="272"/>
      <c r="Q1" s="272"/>
      <c r="R1" s="272"/>
      <c r="S1" s="272"/>
      <c r="T1" s="272"/>
      <c r="U1" s="272"/>
      <c r="V1" s="272"/>
      <c r="W1" s="272"/>
      <c r="X1" s="272"/>
      <c r="Y1" s="272"/>
      <c r="Z1" s="272"/>
      <c r="AA1" s="272"/>
      <c r="AB1" s="272"/>
      <c r="AC1" s="272"/>
      <c r="AD1" s="272"/>
      <c r="AE1" s="272"/>
      <c r="AF1" s="272"/>
      <c r="AG1" s="284"/>
      <c r="AH1" s="284"/>
      <c r="AI1" s="284"/>
    </row>
    <row r="2" spans="1:35" s="303" customFormat="1" x14ac:dyDescent="0.25">
      <c r="A2" s="302">
        <v>1</v>
      </c>
      <c r="B2" s="302"/>
      <c r="C2" s="302"/>
      <c r="D2" s="302">
        <v>2</v>
      </c>
      <c r="E2" s="302">
        <v>3</v>
      </c>
      <c r="F2" s="65">
        <v>4</v>
      </c>
      <c r="G2" s="302">
        <v>5</v>
      </c>
      <c r="H2" s="303">
        <v>8</v>
      </c>
      <c r="I2" s="302">
        <v>9</v>
      </c>
      <c r="J2" s="303">
        <v>10</v>
      </c>
      <c r="K2" s="304">
        <v>12</v>
      </c>
      <c r="L2" s="303">
        <v>13</v>
      </c>
      <c r="M2" s="305"/>
      <c r="N2" s="305"/>
      <c r="O2" s="305"/>
      <c r="P2" s="306"/>
      <c r="Q2" s="306"/>
      <c r="R2" s="306"/>
      <c r="S2" s="306"/>
      <c r="T2" s="306"/>
      <c r="U2" s="306"/>
      <c r="V2" s="305"/>
      <c r="W2" s="305"/>
      <c r="X2" s="305"/>
      <c r="Y2" s="305"/>
      <c r="Z2" s="276"/>
      <c r="AA2" s="276"/>
      <c r="AB2" s="276"/>
      <c r="AC2" s="309"/>
      <c r="AD2" s="310"/>
      <c r="AE2" s="311"/>
    </row>
    <row r="3" spans="1:35" s="315" customFormat="1" ht="42" x14ac:dyDescent="0.25">
      <c r="A3" s="312" t="str">
        <f>'Анализ рынка'!A7</f>
        <v>№ п/п</v>
      </c>
      <c r="B3" s="312" t="s">
        <v>59</v>
      </c>
      <c r="C3" s="313" t="s">
        <v>87</v>
      </c>
      <c r="D3" s="313" t="str">
        <f>'Анализ рынка'!G7</f>
        <v>МНН</v>
      </c>
      <c r="E3" s="313" t="str">
        <f>'Анализ рынка'!H7</f>
        <v>Лекарственная форма</v>
      </c>
      <c r="F3" s="313" t="s">
        <v>164</v>
      </c>
      <c r="G3" s="312" t="str">
        <f>'Анализ рынка'!L7</f>
        <v>Ед. изм.</v>
      </c>
      <c r="H3" s="307" t="s">
        <v>298</v>
      </c>
      <c r="I3" s="313" t="s">
        <v>330</v>
      </c>
      <c r="J3" s="313" t="s">
        <v>178</v>
      </c>
      <c r="K3" s="308" t="s">
        <v>185</v>
      </c>
      <c r="L3" s="312" t="s">
        <v>179</v>
      </c>
      <c r="M3" s="314"/>
      <c r="N3" s="314"/>
      <c r="O3" s="314"/>
      <c r="V3" s="314"/>
      <c r="W3" s="314"/>
      <c r="X3" s="314"/>
      <c r="Y3" s="314"/>
      <c r="Z3" s="316"/>
      <c r="AA3" s="316"/>
      <c r="AB3" s="316"/>
      <c r="AC3" s="314"/>
      <c r="AD3" s="317"/>
      <c r="AE3" s="318"/>
    </row>
    <row r="4" spans="1:35" ht="25.5" x14ac:dyDescent="0.25">
      <c r="A4" s="107">
        <f>'Анализ рынка'!A8</f>
        <v>1</v>
      </c>
      <c r="B4" s="107" t="str">
        <f>'Анализ рынка'!D8</f>
        <v>нет</v>
      </c>
      <c r="C4" s="51" t="str">
        <f>'Анализ рынка'!F8</f>
        <v>Папаверина гидрохлорид 2 % 2 мл №10</v>
      </c>
      <c r="D4" s="51" t="str">
        <f>'Анализ рынка'!G8</f>
        <v>Папаверин</v>
      </c>
      <c r="E4" s="51" t="str">
        <f>'Анализ рынка'!H8</f>
        <v>Раствор для инъекций</v>
      </c>
      <c r="F4" s="51" t="str">
        <f>'Анализ рынка'!K8</f>
        <v>10 амп. по 2 мл</v>
      </c>
      <c r="G4" s="107" t="str">
        <f>'Анализ рынка'!L8</f>
        <v>мл</v>
      </c>
      <c r="H4" s="319" t="s">
        <v>180</v>
      </c>
      <c r="I4" s="319" t="str">
        <f>'Анализ рынка'!P8</f>
        <v>10</v>
      </c>
      <c r="J4" s="319" t="str">
        <f>'Анализ рынка'!Q8</f>
        <v>2</v>
      </c>
      <c r="K4" s="94" t="s">
        <v>301</v>
      </c>
      <c r="L4" s="320"/>
      <c r="M4" s="309"/>
      <c r="N4" s="309"/>
      <c r="O4" s="309"/>
      <c r="P4" s="298"/>
      <c r="Q4" s="298"/>
      <c r="R4" s="298"/>
      <c r="T4" s="298"/>
      <c r="U4" s="298"/>
      <c r="V4" s="309"/>
      <c r="W4" s="309"/>
      <c r="X4" s="309"/>
      <c r="Y4" s="309"/>
      <c r="Z4" s="276"/>
      <c r="AA4" s="276"/>
      <c r="AB4" s="276"/>
      <c r="AC4" s="309"/>
      <c r="AD4" s="310"/>
      <c r="AE4" s="311"/>
    </row>
    <row r="5" spans="1:35" ht="25.5" x14ac:dyDescent="0.25">
      <c r="A5" s="107">
        <f>'Анализ рынка'!A9</f>
        <v>2</v>
      </c>
      <c r="B5" s="107" t="str">
        <f>'Анализ рынка'!D9</f>
        <v>нет</v>
      </c>
      <c r="C5" s="51" t="str">
        <f>'Анализ рынка'!F9</f>
        <v>Анальгин 50 % 2 мл №10</v>
      </c>
      <c r="D5" s="51" t="str">
        <f>'Анализ рынка'!G9</f>
        <v>Метамизол натрия</v>
      </c>
      <c r="E5" s="51" t="str">
        <f>'Анализ рынка'!H9</f>
        <v>Раствор для внутривенного и внутримышечного введения</v>
      </c>
      <c r="F5" s="51" t="str">
        <f>'Анализ рынка'!K9</f>
        <v>10 амп. по 2 мл</v>
      </c>
      <c r="G5" s="107" t="str">
        <f>'Анализ рынка'!L9</f>
        <v>мл</v>
      </c>
      <c r="H5" s="319" t="s">
        <v>180</v>
      </c>
      <c r="I5" s="319" t="str">
        <f>'Анализ рынка'!P9</f>
        <v>10</v>
      </c>
      <c r="J5" s="319" t="str">
        <f>'Анализ рынка'!Q9</f>
        <v>2</v>
      </c>
      <c r="K5" s="94" t="s">
        <v>301</v>
      </c>
      <c r="L5" s="321"/>
      <c r="M5" s="309"/>
      <c r="N5" s="309"/>
      <c r="O5" s="309"/>
      <c r="P5" s="298"/>
      <c r="Q5" s="298"/>
      <c r="R5" s="298"/>
      <c r="T5" s="298"/>
      <c r="U5" s="298"/>
      <c r="V5" s="309"/>
      <c r="W5" s="309"/>
      <c r="X5" s="309"/>
      <c r="Y5" s="309"/>
      <c r="Z5" s="276"/>
      <c r="AA5" s="276"/>
      <c r="AB5" s="276"/>
      <c r="AC5" s="309"/>
      <c r="AD5" s="310"/>
      <c r="AE5" s="311"/>
    </row>
    <row r="6" spans="1:35" ht="25.5" x14ac:dyDescent="0.25">
      <c r="A6" s="107">
        <f>'Анализ рынка'!A10</f>
        <v>3</v>
      </c>
      <c r="B6" s="107" t="str">
        <f>'Анализ рынка'!D10</f>
        <v>нет</v>
      </c>
      <c r="C6" s="51" t="str">
        <f>'Анализ рынка'!F10</f>
        <v>Дибазол 1% 1 мл №10</v>
      </c>
      <c r="D6" s="51" t="str">
        <f>'Анализ рынка'!G10</f>
        <v>Бендазол</v>
      </c>
      <c r="E6" s="51" t="str">
        <f>'Анализ рынка'!H10</f>
        <v>Раствор для внутривенного и внутримышечного введения</v>
      </c>
      <c r="F6" s="51" t="str">
        <f>'Анализ рынка'!K10</f>
        <v>10 амп. по 1 мл</v>
      </c>
      <c r="G6" s="107" t="str">
        <f>'Анализ рынка'!L10</f>
        <v>мл</v>
      </c>
      <c r="H6" s="319" t="s">
        <v>180</v>
      </c>
      <c r="I6" s="319" t="str">
        <f>'Анализ рынка'!P10</f>
        <v>10</v>
      </c>
      <c r="J6" s="319" t="str">
        <f>'Анализ рынка'!Q10</f>
        <v>1</v>
      </c>
      <c r="K6" s="94" t="s">
        <v>301</v>
      </c>
      <c r="L6" s="320"/>
      <c r="M6" s="309"/>
      <c r="N6" s="309"/>
      <c r="O6" s="309"/>
      <c r="P6" s="298"/>
      <c r="Q6" s="298"/>
      <c r="R6" s="298"/>
      <c r="T6" s="298"/>
      <c r="U6" s="298"/>
      <c r="V6" s="309"/>
      <c r="W6" s="309"/>
      <c r="X6" s="309"/>
      <c r="Y6" s="309"/>
      <c r="Z6" s="276"/>
      <c r="AA6" s="276"/>
      <c r="AB6" s="276"/>
      <c r="AC6" s="309"/>
      <c r="AD6" s="310"/>
      <c r="AE6" s="311"/>
    </row>
    <row r="7" spans="1:35" ht="25.5" x14ac:dyDescent="0.25">
      <c r="A7" s="107">
        <f>'Анализ рынка'!A11</f>
        <v>4</v>
      </c>
      <c r="B7" s="107" t="str">
        <f>'Анализ рынка'!D11</f>
        <v>нет</v>
      </c>
      <c r="C7" s="51" t="str">
        <f>'Анализ рынка'!F11</f>
        <v>Димедрол 1% 1 мл №10</v>
      </c>
      <c r="D7" s="51" t="str">
        <f>'Анализ рынка'!G11</f>
        <v>Дифенгидрамин</v>
      </c>
      <c r="E7" s="51" t="str">
        <f>'Анализ рынка'!H11</f>
        <v>Раствор для внутривенного и внутримышечного введения</v>
      </c>
      <c r="F7" s="51" t="str">
        <f>'Анализ рынка'!K11</f>
        <v>10 амп. по 1 мл</v>
      </c>
      <c r="G7" s="107" t="str">
        <f>'Анализ рынка'!L11</f>
        <v>мл</v>
      </c>
      <c r="H7" s="319">
        <v>14.47</v>
      </c>
      <c r="I7" s="319" t="str">
        <f>'Анализ рынка'!P11</f>
        <v>10</v>
      </c>
      <c r="J7" s="319" t="str">
        <f>'Анализ рынка'!Q11</f>
        <v>1</v>
      </c>
      <c r="K7" s="94" t="s">
        <v>301</v>
      </c>
      <c r="L7" s="320"/>
      <c r="M7" s="309"/>
      <c r="N7" s="309"/>
      <c r="O7" s="309"/>
      <c r="P7" s="298"/>
      <c r="Q7" s="298"/>
      <c r="R7" s="298"/>
      <c r="T7" s="298"/>
      <c r="U7" s="298"/>
      <c r="V7" s="309"/>
      <c r="W7" s="309"/>
      <c r="X7" s="309"/>
      <c r="Y7" s="309"/>
      <c r="Z7" s="276"/>
      <c r="AA7" s="276"/>
      <c r="AB7" s="276"/>
      <c r="AC7" s="309"/>
      <c r="AD7" s="310"/>
      <c r="AE7" s="311"/>
    </row>
    <row r="8" spans="1:35" ht="25.5" x14ac:dyDescent="0.25">
      <c r="A8" s="107">
        <f>'Анализ рынка'!A12</f>
        <v>5</v>
      </c>
      <c r="B8" s="107" t="str">
        <f>'Анализ рынка'!D12</f>
        <v>нет</v>
      </c>
      <c r="C8" s="51" t="str">
        <f>'Анализ рынка'!F12</f>
        <v>Линкомицин 30% 1,0 №10</v>
      </c>
      <c r="D8" s="51" t="str">
        <f>'Анализ рынка'!G12</f>
        <v>Линкомицин</v>
      </c>
      <c r="E8" s="51" t="str">
        <f>'Анализ рынка'!H12</f>
        <v>Раствор для внутривенного и внутримышечного введения</v>
      </c>
      <c r="F8" s="51" t="str">
        <f>'Анализ рынка'!K12</f>
        <v>10 амп. по 1 мл</v>
      </c>
      <c r="G8" s="107" t="str">
        <f>'Анализ рынка'!L12</f>
        <v>мл</v>
      </c>
      <c r="H8" s="319" t="s">
        <v>180</v>
      </c>
      <c r="I8" s="319" t="str">
        <f>'Анализ рынка'!P12</f>
        <v>10</v>
      </c>
      <c r="J8" s="319" t="str">
        <f>'Анализ рынка'!Q12</f>
        <v>1</v>
      </c>
      <c r="K8" s="94" t="s">
        <v>301</v>
      </c>
      <c r="L8" s="322"/>
      <c r="M8" s="309"/>
      <c r="N8" s="283"/>
      <c r="O8" s="283"/>
      <c r="P8" s="270"/>
      <c r="Q8" s="270"/>
      <c r="R8" s="270"/>
      <c r="S8" s="270"/>
      <c r="T8" s="270"/>
      <c r="U8" s="270"/>
      <c r="V8" s="283"/>
      <c r="W8" s="283"/>
      <c r="X8" s="283"/>
      <c r="Y8" s="283"/>
      <c r="Z8" s="278"/>
      <c r="AA8" s="278"/>
      <c r="AB8" s="278"/>
      <c r="AC8" s="283"/>
      <c r="AD8" s="310"/>
      <c r="AE8" s="311"/>
    </row>
    <row r="9" spans="1:35" ht="58.5" customHeight="1" x14ac:dyDescent="0.25">
      <c r="A9" s="107">
        <f>'Анализ рынка'!A13</f>
        <v>6</v>
      </c>
      <c r="B9" s="107" t="str">
        <f>'Анализ рынка'!D13</f>
        <v>да</v>
      </c>
      <c r="C9" s="51" t="str">
        <f>'Анализ рынка'!F13</f>
        <v>Адреналина гидрохлорид 0,1% 1 мл №5</v>
      </c>
      <c r="D9" s="51" t="str">
        <f>'Анализ рынка'!G13</f>
        <v>Эпинефрин</v>
      </c>
      <c r="E9" s="51" t="str">
        <f>'Анализ рынка'!H13</f>
        <v>Раствор для инъекций</v>
      </c>
      <c r="F9" s="51" t="str">
        <f>'Анализ рынка'!K13</f>
        <v>5 амп. по 1 мл</v>
      </c>
      <c r="G9" s="107" t="str">
        <f>'Анализ рынка'!L13</f>
        <v>мл</v>
      </c>
      <c r="H9" s="107">
        <v>43.53</v>
      </c>
      <c r="I9" s="319" t="str">
        <f>'Анализ рынка'!P13</f>
        <v xml:space="preserve">5 </v>
      </c>
      <c r="J9" s="319" t="str">
        <f>'Анализ рынка'!Q13</f>
        <v>1</v>
      </c>
      <c r="K9" s="94">
        <f t="shared" ref="K9:K31" si="0">H9/I9/J9</f>
        <v>8.7059999999999995</v>
      </c>
      <c r="L9" s="107" t="s">
        <v>184</v>
      </c>
      <c r="M9" s="309"/>
    </row>
    <row r="10" spans="1:35" ht="25.5" x14ac:dyDescent="0.25">
      <c r="A10" s="107">
        <f>'Анализ рынка'!A14</f>
        <v>7</v>
      </c>
      <c r="B10" s="107" t="str">
        <f>'Анализ рынка'!D14</f>
        <v>да</v>
      </c>
      <c r="C10" s="51" t="str">
        <f>'Анализ рынка'!F14</f>
        <v>Фуросемид 1% 2 мл 10</v>
      </c>
      <c r="D10" s="51" t="str">
        <f>'Анализ рынка'!G14</f>
        <v>Фуросемид</v>
      </c>
      <c r="E10" s="51" t="str">
        <f>'Анализ рынка'!H14</f>
        <v>Раствор для внутривенного и внутримышечного введения</v>
      </c>
      <c r="F10" s="51" t="str">
        <f>'Анализ рынка'!K14</f>
        <v>10 амп. по 2 мл</v>
      </c>
      <c r="G10" s="107" t="str">
        <f>'Анализ рынка'!L14</f>
        <v>мл</v>
      </c>
      <c r="H10" s="107">
        <v>14.38</v>
      </c>
      <c r="I10" s="319" t="str">
        <f>'Анализ рынка'!P14</f>
        <v>10</v>
      </c>
      <c r="J10" s="319" t="str">
        <f>'Анализ рынка'!Q14</f>
        <v>2</v>
      </c>
      <c r="K10" s="94">
        <f>H10/I10/J10</f>
        <v>0.71900000000000008</v>
      </c>
      <c r="L10" s="107" t="s">
        <v>400</v>
      </c>
      <c r="M10" s="309"/>
    </row>
    <row r="11" spans="1:35" ht="25.5" x14ac:dyDescent="0.25">
      <c r="A11" s="107">
        <f>'Анализ рынка'!A15</f>
        <v>8</v>
      </c>
      <c r="B11" s="107" t="str">
        <f>'Анализ рынка'!D15</f>
        <v>да</v>
      </c>
      <c r="C11" s="51" t="str">
        <f>'Анализ рынка'!F15</f>
        <v>Эуфиллин 2,4% 5 мл №10</v>
      </c>
      <c r="D11" s="51" t="str">
        <f>'Анализ рынка'!G15</f>
        <v>Аминофиллин</v>
      </c>
      <c r="E11" s="51" t="str">
        <f>'Анализ рынка'!H15</f>
        <v>Раствор для внутривенного введения</v>
      </c>
      <c r="F11" s="51" t="str">
        <f>'Анализ рынка'!K15</f>
        <v>10 амп. по 5 мл</v>
      </c>
      <c r="G11" s="107" t="str">
        <f>'Анализ рынка'!L15</f>
        <v>мл</v>
      </c>
      <c r="H11" s="319">
        <v>20.21</v>
      </c>
      <c r="I11" s="319" t="str">
        <f>'Анализ рынка'!P15</f>
        <v>10</v>
      </c>
      <c r="J11" s="319" t="str">
        <f>'Анализ рынка'!Q15</f>
        <v>5</v>
      </c>
      <c r="K11" s="94">
        <f>H11/I11/J11</f>
        <v>0.4042</v>
      </c>
      <c r="L11" s="107" t="s">
        <v>401</v>
      </c>
      <c r="M11" s="309"/>
    </row>
    <row r="12" spans="1:35" ht="25.5" x14ac:dyDescent="0.25">
      <c r="A12" s="107">
        <f>'Анализ рынка'!A16</f>
        <v>9</v>
      </c>
      <c r="B12" s="107" t="str">
        <f>'Анализ рынка'!D16</f>
        <v>нет</v>
      </c>
      <c r="C12" s="51" t="str">
        <f>'Анализ рынка'!F16</f>
        <v>Пустырника настойка 25 мл</v>
      </c>
      <c r="D12" s="51" t="str">
        <f>'Анализ рынка'!G16</f>
        <v>Пустырника травы настойка</v>
      </c>
      <c r="E12" s="51" t="str">
        <f>'Анализ рынка'!H16</f>
        <v>Настойка</v>
      </c>
      <c r="F12" s="51" t="str">
        <f>'Анализ рынка'!K16</f>
        <v>25 мл</v>
      </c>
      <c r="G12" s="107" t="str">
        <f>'Анализ рынка'!L16</f>
        <v>мл</v>
      </c>
      <c r="H12" s="319" t="s">
        <v>180</v>
      </c>
      <c r="I12" s="319" t="str">
        <f>'Анализ рынка'!P16</f>
        <v>25</v>
      </c>
      <c r="J12" s="319">
        <f>'Анализ рынка'!Q16</f>
        <v>1</v>
      </c>
      <c r="K12" s="94" t="s">
        <v>301</v>
      </c>
      <c r="L12" s="107"/>
      <c r="M12" s="309"/>
    </row>
    <row r="13" spans="1:35" ht="25.5" x14ac:dyDescent="0.25">
      <c r="A13" s="107">
        <f>'Анализ рынка'!A17</f>
        <v>10</v>
      </c>
      <c r="B13" s="107" t="str">
        <f>'Анализ рынка'!D17</f>
        <v>нет</v>
      </c>
      <c r="C13" s="51" t="str">
        <f>'Анализ рынка'!F17</f>
        <v>Валерианы настойка 25 мл</v>
      </c>
      <c r="D13" s="51" t="str">
        <f>'Анализ рынка'!G17</f>
        <v>Валерианы лекарственной корневища с корнями</v>
      </c>
      <c r="E13" s="51" t="str">
        <f>'Анализ рынка'!H17</f>
        <v>Настойка</v>
      </c>
      <c r="F13" s="51" t="str">
        <f>'Анализ рынка'!K17</f>
        <v>25 мл</v>
      </c>
      <c r="G13" s="107" t="str">
        <f>'Анализ рынка'!L17</f>
        <v>мл</v>
      </c>
      <c r="H13" s="319" t="s">
        <v>180</v>
      </c>
      <c r="I13" s="319" t="str">
        <f>'Анализ рынка'!P17</f>
        <v>25</v>
      </c>
      <c r="J13" s="319">
        <f>'Анализ рынка'!Q17</f>
        <v>1</v>
      </c>
      <c r="K13" s="94" t="s">
        <v>301</v>
      </c>
      <c r="L13" s="107"/>
      <c r="M13" s="309"/>
    </row>
    <row r="14" spans="1:35" ht="25.5" x14ac:dyDescent="0.25">
      <c r="A14" s="107">
        <f>'Анализ рынка'!A18</f>
        <v>11</v>
      </c>
      <c r="B14" s="107" t="str">
        <f>'Анализ рынка'!D18</f>
        <v>нет</v>
      </c>
      <c r="C14" s="51" t="str">
        <f>'Анализ рынка'!F18</f>
        <v>Ацетилсалициловая кислота 500 мг №10</v>
      </c>
      <c r="D14" s="51" t="str">
        <f>'Анализ рынка'!G18</f>
        <v>Ацетилсалициловая кислота</v>
      </c>
      <c r="E14" s="51" t="str">
        <f>'Анализ рынка'!H18</f>
        <v>Таблетки</v>
      </c>
      <c r="F14" s="51" t="str">
        <f>'Анализ рынка'!K18</f>
        <v>10 шт</v>
      </c>
      <c r="G14" s="107" t="str">
        <f>'Анализ рынка'!L18</f>
        <v>шт</v>
      </c>
      <c r="H14" s="107">
        <v>3.45</v>
      </c>
      <c r="I14" s="319" t="str">
        <f>'Анализ рынка'!P18</f>
        <v>10</v>
      </c>
      <c r="J14" s="319">
        <f>'Анализ рынка'!Q18</f>
        <v>1</v>
      </c>
      <c r="K14" s="94" t="s">
        <v>301</v>
      </c>
      <c r="L14" s="107"/>
      <c r="M14" s="309"/>
    </row>
    <row r="15" spans="1:35" ht="25.5" x14ac:dyDescent="0.25">
      <c r="A15" s="107">
        <f>'Анализ рынка'!A19</f>
        <v>12</v>
      </c>
      <c r="B15" s="107" t="str">
        <f>'Анализ рынка'!D19</f>
        <v>нет</v>
      </c>
      <c r="C15" s="51" t="str">
        <f>'Анализ рынка'!F19</f>
        <v>Андипал 20 мг+250 мг+20 мг+ 20 мг №10</v>
      </c>
      <c r="D15" s="51" t="str">
        <f>'Анализ рынка'!G19</f>
        <v>Бендазол + Метамизол натрия + Папаверин + Фенобарбитал</v>
      </c>
      <c r="E15" s="51" t="str">
        <f>'Анализ рынка'!H19</f>
        <v>Таблетки</v>
      </c>
      <c r="F15" s="51" t="str">
        <f>'Анализ рынка'!K19</f>
        <v>10 шт</v>
      </c>
      <c r="G15" s="107" t="str">
        <f>'Анализ рынка'!L19</f>
        <v>шт</v>
      </c>
      <c r="H15" s="319" t="s">
        <v>180</v>
      </c>
      <c r="I15" s="319" t="str">
        <f>'Анализ рынка'!P19</f>
        <v>10</v>
      </c>
      <c r="J15" s="319">
        <f>'Анализ рынка'!Q19</f>
        <v>1</v>
      </c>
      <c r="K15" s="94" t="s">
        <v>301</v>
      </c>
      <c r="L15" s="107"/>
      <c r="M15" s="309"/>
    </row>
    <row r="16" spans="1:35" ht="25.5" x14ac:dyDescent="0.25">
      <c r="A16" s="107">
        <f>'Анализ рынка'!A20</f>
        <v>13</v>
      </c>
      <c r="B16" s="107" t="str">
        <f>'Анализ рынка'!D20</f>
        <v>нет</v>
      </c>
      <c r="C16" s="51" t="str">
        <f>'Анализ рынка'!F20</f>
        <v>Валидол 60 мг №10</v>
      </c>
      <c r="D16" s="51" t="str">
        <f>'Анализ рынка'!G20</f>
        <v>Левоментола раствор в ментил изовалерате</v>
      </c>
      <c r="E16" s="51" t="str">
        <f>'Анализ рынка'!H20</f>
        <v>Таблетки подъязычные</v>
      </c>
      <c r="F16" s="51" t="str">
        <f>'Анализ рынка'!K20</f>
        <v>10 шт</v>
      </c>
      <c r="G16" s="107" t="str">
        <f>'Анализ рынка'!L20</f>
        <v>шт</v>
      </c>
      <c r="H16" s="319" t="s">
        <v>180</v>
      </c>
      <c r="I16" s="319" t="str">
        <f>'Анализ рынка'!P20</f>
        <v>10</v>
      </c>
      <c r="J16" s="319">
        <f>'Анализ рынка'!Q20</f>
        <v>1</v>
      </c>
      <c r="K16" s="94" t="s">
        <v>301</v>
      </c>
      <c r="L16" s="107"/>
      <c r="M16" s="309"/>
    </row>
    <row r="17" spans="1:13" x14ac:dyDescent="0.25">
      <c r="A17" s="107">
        <f>'Анализ рынка'!A21</f>
        <v>14</v>
      </c>
      <c r="B17" s="107" t="str">
        <f>'Анализ рынка'!D21</f>
        <v>да</v>
      </c>
      <c r="C17" s="51" t="str">
        <f>'Анализ рынка'!F21</f>
        <v>Капотен 25 мг №40</v>
      </c>
      <c r="D17" s="51" t="str">
        <f>'Анализ рынка'!G21</f>
        <v>Каптоприл</v>
      </c>
      <c r="E17" s="51" t="str">
        <f>'Анализ рынка'!H21</f>
        <v>Таблетки</v>
      </c>
      <c r="F17" s="51" t="str">
        <f>'Анализ рынка'!K21</f>
        <v>40 шт</v>
      </c>
      <c r="G17" s="107" t="str">
        <f>'Анализ рынка'!L21</f>
        <v>шт</v>
      </c>
      <c r="H17" s="107">
        <v>236.7</v>
      </c>
      <c r="I17" s="319" t="str">
        <f>'Анализ рынка'!P21</f>
        <v>40</v>
      </c>
      <c r="J17" s="319">
        <f>'Анализ рынка'!Q21</f>
        <v>1</v>
      </c>
      <c r="K17" s="94">
        <f t="shared" si="0"/>
        <v>5.9174999999999995</v>
      </c>
      <c r="L17" s="107" t="s">
        <v>299</v>
      </c>
      <c r="M17" s="309"/>
    </row>
    <row r="18" spans="1:13" ht="25.5" x14ac:dyDescent="0.25">
      <c r="A18" s="107">
        <f>'Анализ рынка'!A22</f>
        <v>15</v>
      </c>
      <c r="B18" s="107" t="str">
        <f>'Анализ рынка'!D22</f>
        <v>да</v>
      </c>
      <c r="C18" s="51" t="str">
        <f>'Анализ рынка'!F22</f>
        <v>Кетанов 10 мг № 20</v>
      </c>
      <c r="D18" s="51" t="str">
        <f>'Анализ рынка'!G22</f>
        <v xml:space="preserve">Кеторолак </v>
      </c>
      <c r="E18" s="51" t="str">
        <f>'Анализ рынка'!H22</f>
        <v>Таблетки покрытые пленочной оболочкой</v>
      </c>
      <c r="F18" s="51" t="str">
        <f>'Анализ рынка'!K22</f>
        <v>20 шт</v>
      </c>
      <c r="G18" s="107" t="str">
        <f>'Анализ рынка'!L22</f>
        <v>шт</v>
      </c>
      <c r="H18" s="107">
        <v>108.24</v>
      </c>
      <c r="I18" s="319" t="str">
        <f>'Анализ рынка'!P22</f>
        <v>20</v>
      </c>
      <c r="J18" s="319">
        <f>'Анализ рынка'!Q22</f>
        <v>1</v>
      </c>
      <c r="K18" s="94">
        <f t="shared" si="0"/>
        <v>5.4119999999999999</v>
      </c>
      <c r="L18" s="107" t="s">
        <v>402</v>
      </c>
      <c r="M18" s="309"/>
    </row>
    <row r="19" spans="1:13" ht="25.5" x14ac:dyDescent="0.25">
      <c r="A19" s="107">
        <f>'Анализ рынка'!A23</f>
        <v>16</v>
      </c>
      <c r="B19" s="107" t="str">
        <f>'Анализ рынка'!D23</f>
        <v>да</v>
      </c>
      <c r="C19" s="51" t="str">
        <f>'Анализ рынка'!F23</f>
        <v>Конкор 5 мг № 30</v>
      </c>
      <c r="D19" s="51" t="str">
        <f>'Анализ рынка'!G23</f>
        <v>Бисопролол</v>
      </c>
      <c r="E19" s="51" t="str">
        <f>'Анализ рынка'!H23</f>
        <v>Таблетки покрытые пленочной оболочкой</v>
      </c>
      <c r="F19" s="51" t="str">
        <f>'Анализ рынка'!K23</f>
        <v>30 шт</v>
      </c>
      <c r="G19" s="107" t="str">
        <f>'Анализ рынка'!L23</f>
        <v>шт</v>
      </c>
      <c r="H19" s="107">
        <v>159.27000000000001</v>
      </c>
      <c r="I19" s="319" t="str">
        <f>'Анализ рынка'!P23</f>
        <v>30</v>
      </c>
      <c r="J19" s="319">
        <f>'Анализ рынка'!Q23</f>
        <v>1</v>
      </c>
      <c r="K19" s="94">
        <f t="shared" si="0"/>
        <v>5.3090000000000002</v>
      </c>
      <c r="L19" s="107" t="s">
        <v>403</v>
      </c>
      <c r="M19" s="309"/>
    </row>
    <row r="20" spans="1:13" ht="36.75" customHeight="1" x14ac:dyDescent="0.25">
      <c r="A20" s="107">
        <f>'Анализ рынка'!A24</f>
        <v>17</v>
      </c>
      <c r="B20" s="107" t="str">
        <f>'Анализ рынка'!D24</f>
        <v>да</v>
      </c>
      <c r="C20" s="51" t="str">
        <f>'Анализ рынка'!F24</f>
        <v>Физиотенз 0,2 мг № 28</v>
      </c>
      <c r="D20" s="51" t="str">
        <f>'Анализ рынка'!G24</f>
        <v>Моксонидин</v>
      </c>
      <c r="E20" s="51" t="str">
        <f>'Анализ рынка'!H24</f>
        <v>Таблетки покрытые пленочной оболочкой</v>
      </c>
      <c r="F20" s="51" t="str">
        <f>'Анализ рынка'!K24</f>
        <v>28 шт</v>
      </c>
      <c r="G20" s="107" t="str">
        <f>'Анализ рынка'!L24</f>
        <v>шт</v>
      </c>
      <c r="H20" s="107">
        <v>561.03</v>
      </c>
      <c r="I20" s="319" t="str">
        <f>'Анализ рынка'!P24</f>
        <v>28</v>
      </c>
      <c r="J20" s="319">
        <f>'Анализ рынка'!Q24</f>
        <v>1</v>
      </c>
      <c r="K20" s="94">
        <f t="shared" si="0"/>
        <v>20.036785714285713</v>
      </c>
      <c r="L20" s="107" t="s">
        <v>405</v>
      </c>
      <c r="M20" s="309"/>
    </row>
    <row r="21" spans="1:13" ht="25.5" x14ac:dyDescent="0.25">
      <c r="A21" s="107">
        <f>'Анализ рынка'!A25</f>
        <v>18</v>
      </c>
      <c r="B21" s="107" t="str">
        <f>'Анализ рынка'!D25</f>
        <v>нет</v>
      </c>
      <c r="C21" s="51" t="str">
        <f>'Анализ рынка'!F25</f>
        <v>Кордиамин 25% 1 мл № 10</v>
      </c>
      <c r="D21" s="51" t="str">
        <f>'Анализ рынка'!G25</f>
        <v>Никетамид</v>
      </c>
      <c r="E21" s="51" t="str">
        <f>'Анализ рынка'!H25</f>
        <v>Раствор для инъекций</v>
      </c>
      <c r="F21" s="51" t="str">
        <f>'Анализ рынка'!K25</f>
        <v>10 амп. по 1 мл</v>
      </c>
      <c r="G21" s="107" t="str">
        <f>'Анализ рынка'!L25</f>
        <v>мл</v>
      </c>
      <c r="H21" s="319" t="s">
        <v>180</v>
      </c>
      <c r="I21" s="319" t="str">
        <f>'Анализ рынка'!P25</f>
        <v>10</v>
      </c>
      <c r="J21" s="319" t="str">
        <f>'Анализ рынка'!Q25</f>
        <v>1</v>
      </c>
      <c r="K21" s="94" t="s">
        <v>301</v>
      </c>
      <c r="L21" s="107"/>
      <c r="M21" s="309"/>
    </row>
    <row r="22" spans="1:13" ht="25.5" x14ac:dyDescent="0.25">
      <c r="A22" s="107">
        <f>'Анализ рынка'!A26</f>
        <v>19</v>
      </c>
      <c r="B22" s="107" t="str">
        <f>'Анализ рынка'!D26</f>
        <v>нет</v>
      </c>
      <c r="C22" s="51" t="str">
        <f>'Анализ рынка'!F26</f>
        <v>Кофеин-бензоат натрия 20 % 1,0 №10</v>
      </c>
      <c r="D22" s="51" t="str">
        <f>'Анализ рынка'!G26</f>
        <v>Кофеин</v>
      </c>
      <c r="E22" s="51" t="str">
        <f>'Анализ рынка'!H26</f>
        <v>Раствор для подкожного введения</v>
      </c>
      <c r="F22" s="51" t="str">
        <f>'Анализ рынка'!K26</f>
        <v>10 амп. по 1 мл</v>
      </c>
      <c r="G22" s="107" t="str">
        <f>'Анализ рынка'!L26</f>
        <v>мл</v>
      </c>
      <c r="H22" s="107">
        <v>34.450000000000003</v>
      </c>
      <c r="I22" s="319" t="str">
        <f>'Анализ рынка'!P26</f>
        <v>10</v>
      </c>
      <c r="J22" s="319" t="str">
        <f>'Анализ рынка'!Q26</f>
        <v>1</v>
      </c>
      <c r="K22" s="94" t="s">
        <v>301</v>
      </c>
      <c r="L22" s="107"/>
      <c r="M22" s="309"/>
    </row>
    <row r="23" spans="1:13" ht="25.5" x14ac:dyDescent="0.25">
      <c r="A23" s="107">
        <f>'Анализ рынка'!A27</f>
        <v>20</v>
      </c>
      <c r="B23" s="107" t="str">
        <f>'Анализ рынка'!D27</f>
        <v>да</v>
      </c>
      <c r="C23" s="51" t="str">
        <f>'Анализ рынка'!F27</f>
        <v>Нитроглицерин 0,5 мг №40</v>
      </c>
      <c r="D23" s="51" t="str">
        <f>'Анализ рынка'!G27</f>
        <v xml:space="preserve">Нитроглицерин </v>
      </c>
      <c r="E23" s="51" t="str">
        <f>'Анализ рынка'!H27</f>
        <v>Таблетки подъязычные</v>
      </c>
      <c r="F23" s="51" t="str">
        <f>'Анализ рынка'!K27</f>
        <v>40 шт</v>
      </c>
      <c r="G23" s="107" t="str">
        <f>'Анализ рынка'!L27</f>
        <v>шт</v>
      </c>
      <c r="H23" s="107">
        <v>46.31</v>
      </c>
      <c r="I23" s="319" t="str">
        <f>'Анализ рынка'!P27</f>
        <v>40</v>
      </c>
      <c r="J23" s="319">
        <f>'Анализ рынка'!Q27</f>
        <v>1</v>
      </c>
      <c r="K23" s="94">
        <f t="shared" si="0"/>
        <v>1.1577500000000001</v>
      </c>
      <c r="L23" s="107" t="s">
        <v>406</v>
      </c>
      <c r="M23" s="309"/>
    </row>
    <row r="24" spans="1:13" ht="38.25" x14ac:dyDescent="0.25">
      <c r="A24" s="107">
        <f>'Анализ рынка'!A28</f>
        <v>21</v>
      </c>
      <c r="B24" s="107" t="str">
        <f>'Анализ рынка'!D28</f>
        <v>нет</v>
      </c>
      <c r="C24" s="51" t="str">
        <f>'Анализ рынка'!F28</f>
        <v>Окомистин 0,01%  10 мл</v>
      </c>
      <c r="D24" s="51" t="str">
        <f>'Анализ рынка'!G28</f>
        <v>Бензилдиметил-миристоиламино-пропиламмоний</v>
      </c>
      <c r="E24" s="51" t="str">
        <f>'Анализ рынка'!H28</f>
        <v>Капли глазные ушные и назальные.</v>
      </c>
      <c r="F24" s="51" t="str">
        <f>'Анализ рынка'!K28</f>
        <v>10 мл</v>
      </c>
      <c r="G24" s="107" t="str">
        <f>'Анализ рынка'!L28</f>
        <v>мл</v>
      </c>
      <c r="H24" s="319" t="s">
        <v>180</v>
      </c>
      <c r="I24" s="319" t="str">
        <f>'Анализ рынка'!P28</f>
        <v>10</v>
      </c>
      <c r="J24" s="319">
        <f>'Анализ рынка'!Q28</f>
        <v>1</v>
      </c>
      <c r="K24" s="94" t="s">
        <v>301</v>
      </c>
      <c r="L24" s="107"/>
      <c r="M24" s="309"/>
    </row>
    <row r="25" spans="1:13" ht="25.5" x14ac:dyDescent="0.25">
      <c r="A25" s="107">
        <f>'Анализ рынка'!A29</f>
        <v>22</v>
      </c>
      <c r="B25" s="107" t="str">
        <f>'Анализ рынка'!D29</f>
        <v>нет</v>
      </c>
      <c r="C25" s="51" t="str">
        <f>'Анализ рынка'!F29</f>
        <v>Аммиак 10% 40 мл.</v>
      </c>
      <c r="D25" s="51" t="str">
        <f>'Анализ рынка'!G29</f>
        <v>Аммиак</v>
      </c>
      <c r="E25" s="51" t="str">
        <f>'Анализ рынка'!H29</f>
        <v>Раствор для наружного применения и ингаляций</v>
      </c>
      <c r="F25" s="51" t="str">
        <f>'Анализ рынка'!K29</f>
        <v>40 мл</v>
      </c>
      <c r="G25" s="107" t="str">
        <f>'Анализ рынка'!L29</f>
        <v>мл</v>
      </c>
      <c r="H25" s="319" t="s">
        <v>180</v>
      </c>
      <c r="I25" s="319" t="str">
        <f>'Анализ рынка'!P29</f>
        <v>40</v>
      </c>
      <c r="J25" s="319">
        <f>'Анализ рынка'!Q29</f>
        <v>1</v>
      </c>
      <c r="K25" s="94" t="s">
        <v>301</v>
      </c>
      <c r="L25" s="107"/>
      <c r="M25" s="309"/>
    </row>
    <row r="26" spans="1:13" ht="25.5" x14ac:dyDescent="0.25">
      <c r="A26" s="107">
        <f>'Анализ рынка'!A30</f>
        <v>23</v>
      </c>
      <c r="B26" s="107" t="str">
        <f>'Анализ рынка'!D30</f>
        <v>нет</v>
      </c>
      <c r="C26" s="51" t="str">
        <f>'Анализ рынка'!F30</f>
        <v>Вазелин 30 гр</v>
      </c>
      <c r="D26" s="51" t="str">
        <f>'Анализ рынка'!G30</f>
        <v>Вазелин</v>
      </c>
      <c r="E26" s="51" t="str">
        <f>'Анализ рынка'!H30</f>
        <v>Мазь для наружного применения</v>
      </c>
      <c r="F26" s="51" t="str">
        <f>'Анализ рынка'!K30</f>
        <v>30 гр</v>
      </c>
      <c r="G26" s="107" t="str">
        <f>'Анализ рынка'!L30</f>
        <v>г</v>
      </c>
      <c r="H26" s="319" t="s">
        <v>180</v>
      </c>
      <c r="I26" s="319" t="str">
        <f>'Анализ рынка'!P30</f>
        <v>30</v>
      </c>
      <c r="J26" s="319">
        <f>'Анализ рынка'!Q30</f>
        <v>1</v>
      </c>
      <c r="K26" s="94" t="s">
        <v>301</v>
      </c>
      <c r="L26" s="107"/>
      <c r="M26" s="309"/>
    </row>
    <row r="27" spans="1:13" ht="25.5" x14ac:dyDescent="0.25">
      <c r="A27" s="107">
        <f>'Анализ рынка'!A31</f>
        <v>24</v>
      </c>
      <c r="B27" s="107" t="str">
        <f>'Анализ рынка'!D31</f>
        <v>да</v>
      </c>
      <c r="C27" s="51" t="str">
        <f>'Анализ рынка'!F31</f>
        <v>Натрия хлорид 0,9% 200 мл</v>
      </c>
      <c r="D27" s="51" t="str">
        <f>'Анализ рынка'!G31</f>
        <v>Натрия хлорид</v>
      </c>
      <c r="E27" s="51" t="str">
        <f>'Анализ рынка'!H31</f>
        <v>Раствор для инфузий</v>
      </c>
      <c r="F27" s="51" t="str">
        <f>'Анализ рынка'!K31</f>
        <v>200 мл</v>
      </c>
      <c r="G27" s="107" t="str">
        <f>'Анализ рынка'!L31</f>
        <v>мл</v>
      </c>
      <c r="H27" s="107">
        <v>22.04</v>
      </c>
      <c r="I27" s="319">
        <f>'Анализ рынка'!P31</f>
        <v>200</v>
      </c>
      <c r="J27" s="319">
        <f>'Анализ рынка'!Q31</f>
        <v>1</v>
      </c>
      <c r="K27" s="94">
        <f>H27/I27/J27</f>
        <v>0.11019999999999999</v>
      </c>
      <c r="L27" s="107" t="s">
        <v>408</v>
      </c>
      <c r="M27" s="309"/>
    </row>
    <row r="28" spans="1:13" ht="25.5" x14ac:dyDescent="0.25">
      <c r="A28" s="107">
        <f>'Анализ рынка'!A32</f>
        <v>25</v>
      </c>
      <c r="B28" s="107" t="str">
        <f>'Анализ рынка'!D32</f>
        <v>да</v>
      </c>
      <c r="C28" s="51" t="str">
        <f>'Анализ рынка'!F32</f>
        <v>Натрия хлорид 0,9%  5,0 №10</v>
      </c>
      <c r="D28" s="51" t="str">
        <f>'Анализ рынка'!G32</f>
        <v>Натрия хлорид</v>
      </c>
      <c r="E28" s="51" t="str">
        <f>'Анализ рынка'!H32</f>
        <v>Раствор для инъекций</v>
      </c>
      <c r="F28" s="51" t="str">
        <f>'Анализ рынка'!K32</f>
        <v>10 амп. по 5 мл</v>
      </c>
      <c r="G28" s="107" t="str">
        <f>'Анализ рынка'!L32</f>
        <v>мл</v>
      </c>
      <c r="H28" s="107">
        <v>62.5</v>
      </c>
      <c r="I28" s="319" t="str">
        <f>'Анализ рынка'!P32</f>
        <v>10</v>
      </c>
      <c r="J28" s="319" t="str">
        <f>'Анализ рынка'!Q32</f>
        <v>5</v>
      </c>
      <c r="K28" s="94">
        <f t="shared" si="0"/>
        <v>1.25</v>
      </c>
      <c r="L28" s="107" t="s">
        <v>409</v>
      </c>
      <c r="M28" s="309"/>
    </row>
    <row r="29" spans="1:13" x14ac:dyDescent="0.25">
      <c r="A29" s="107">
        <f>'Анализ рынка'!A33</f>
        <v>26</v>
      </c>
      <c r="B29" s="107" t="str">
        <f>'Анализ рынка'!D33</f>
        <v>нет</v>
      </c>
      <c r="C29" s="51" t="str">
        <f>'Анализ рынка'!F33</f>
        <v>Метрогил дента 20 г.</v>
      </c>
      <c r="D29" s="51" t="str">
        <f>'Анализ рынка'!G33</f>
        <v>Метронидазол + Хлоргексидин</v>
      </c>
      <c r="E29" s="51" t="str">
        <f>'Анализ рынка'!H33</f>
        <v>Гель стоматологический</v>
      </c>
      <c r="F29" s="51" t="str">
        <f>'Анализ рынка'!K33</f>
        <v>20 гр</v>
      </c>
      <c r="G29" s="107" t="str">
        <f>'Анализ рынка'!L33</f>
        <v>г</v>
      </c>
      <c r="H29" s="319" t="s">
        <v>180</v>
      </c>
      <c r="I29" s="319" t="str">
        <f>'Анализ рынка'!P33</f>
        <v>20</v>
      </c>
      <c r="J29" s="319">
        <f>'Анализ рынка'!Q33</f>
        <v>1</v>
      </c>
      <c r="K29" s="94" t="s">
        <v>301</v>
      </c>
      <c r="L29" s="107"/>
      <c r="M29" s="309"/>
    </row>
    <row r="30" spans="1:13" ht="25.5" x14ac:dyDescent="0.25">
      <c r="A30" s="107">
        <f>'Анализ рынка'!A34</f>
        <v>27</v>
      </c>
      <c r="B30" s="107" t="str">
        <f>'Анализ рынка'!D34</f>
        <v>да</v>
      </c>
      <c r="C30" s="51" t="str">
        <f>'Анализ рынка'!F34</f>
        <v>Перекись водорода 3% 100 мл</v>
      </c>
      <c r="D30" s="51" t="str">
        <f>'Анализ рынка'!G34</f>
        <v>Водорода пероксид</v>
      </c>
      <c r="E30" s="51" t="str">
        <f>'Анализ рынка'!H34</f>
        <v>Раствор для местного и наружного применения.</v>
      </c>
      <c r="F30" s="51" t="str">
        <f>'Анализ рынка'!K34</f>
        <v>100 мл</v>
      </c>
      <c r="G30" s="107" t="str">
        <f>'Анализ рынка'!L34</f>
        <v>мл</v>
      </c>
      <c r="H30" s="107">
        <v>6.48</v>
      </c>
      <c r="I30" s="319">
        <f>'Анализ рынка'!P34</f>
        <v>100</v>
      </c>
      <c r="J30" s="319">
        <f>'Анализ рынка'!Q34</f>
        <v>1</v>
      </c>
      <c r="K30" s="94">
        <f t="shared" si="0"/>
        <v>6.480000000000001E-2</v>
      </c>
      <c r="L30" s="107" t="s">
        <v>407</v>
      </c>
      <c r="M30" s="309"/>
    </row>
    <row r="31" spans="1:13" ht="38.25" x14ac:dyDescent="0.25">
      <c r="A31" s="107">
        <f>'Анализ рынка'!A35</f>
        <v>28</v>
      </c>
      <c r="B31" s="107" t="str">
        <f>'Анализ рынка'!D35</f>
        <v>да</v>
      </c>
      <c r="C31" s="51" t="str">
        <f>'Анализ рынка'!F35</f>
        <v>Хлоргексидина биглюконата раствор 0,05% 100 мл</v>
      </c>
      <c r="D31" s="51" t="str">
        <f>'Анализ рынка'!G35</f>
        <v>Хлоргексидин</v>
      </c>
      <c r="E31" s="51" t="str">
        <f>'Анализ рынка'!H35</f>
        <v>Раствор для наружного применения.</v>
      </c>
      <c r="F31" s="51" t="str">
        <f>'Анализ рынка'!K35</f>
        <v>100 мл</v>
      </c>
      <c r="G31" s="107" t="str">
        <f>'Анализ рынка'!L35</f>
        <v>мл</v>
      </c>
      <c r="H31" s="107">
        <v>13.04</v>
      </c>
      <c r="I31" s="319">
        <f>'Анализ рынка'!P35</f>
        <v>100</v>
      </c>
      <c r="J31" s="319">
        <f>'Анализ рынка'!Q35</f>
        <v>1</v>
      </c>
      <c r="K31" s="94">
        <f t="shared" si="0"/>
        <v>0.13039999999999999</v>
      </c>
      <c r="L31" s="107" t="s">
        <v>183</v>
      </c>
      <c r="M31" s="309"/>
    </row>
    <row r="32" spans="1:13" ht="25.5" x14ac:dyDescent="0.25">
      <c r="A32" s="107">
        <f>'Анализ рынка'!A36</f>
        <v>29</v>
      </c>
      <c r="B32" s="107" t="str">
        <f>'Анализ рынка'!D36</f>
        <v>нет</v>
      </c>
      <c r="C32" s="51" t="str">
        <f>'Анализ рынка'!F36</f>
        <v>Сульфацил натрия 20%  1,5 мл №2</v>
      </c>
      <c r="D32" s="51" t="str">
        <f>'Анализ рынка'!G36</f>
        <v>Сульфацетамид</v>
      </c>
      <c r="E32" s="51" t="str">
        <f>'Анализ рынка'!H36</f>
        <v>Капли глазные</v>
      </c>
      <c r="F32" s="51" t="str">
        <f>'Анализ рынка'!K36</f>
        <v>2 шт. по 1,5 мл</v>
      </c>
      <c r="G32" s="107" t="str">
        <f>'Анализ рынка'!L36</f>
        <v>мл</v>
      </c>
      <c r="H32" s="319" t="s">
        <v>180</v>
      </c>
      <c r="I32" s="319" t="str">
        <f>'Анализ рынка'!P36</f>
        <v xml:space="preserve">2 </v>
      </c>
      <c r="J32" s="319">
        <f>'Анализ рынка'!Q36</f>
        <v>1.5</v>
      </c>
      <c r="K32" s="94" t="s">
        <v>301</v>
      </c>
      <c r="L32" s="107"/>
      <c r="M32" s="309"/>
    </row>
    <row r="33" spans="1:13" ht="25.5" x14ac:dyDescent="0.25">
      <c r="A33" s="107">
        <f>'Анализ рынка'!A37</f>
        <v>30</v>
      </c>
      <c r="B33" s="107" t="str">
        <f>'Анализ рынка'!D37</f>
        <v>нет</v>
      </c>
      <c r="C33" s="51" t="str">
        <f>'Анализ рынка'!F37</f>
        <v>Диоксидин 0,25 мг/мл 150 мл</v>
      </c>
      <c r="D33" s="51" t="str">
        <f>'Анализ рынка'!G37</f>
        <v>Гидроксиметилхиноксалиндиоксид</v>
      </c>
      <c r="E33" s="51" t="str">
        <f>'Анализ рынка'!H37</f>
        <v>Раствор для местного применения</v>
      </c>
      <c r="F33" s="51" t="str">
        <f>'Анализ рынка'!K37</f>
        <v>150 мл</v>
      </c>
      <c r="G33" s="107" t="str">
        <f>'Анализ рынка'!L37</f>
        <v>мл</v>
      </c>
      <c r="H33" s="319" t="s">
        <v>180</v>
      </c>
      <c r="I33" s="319">
        <f>'Анализ рынка'!P37</f>
        <v>150</v>
      </c>
      <c r="J33" s="319">
        <f>'Анализ рынка'!Q37</f>
        <v>1</v>
      </c>
      <c r="K33" s="94" t="s">
        <v>301</v>
      </c>
      <c r="L33" s="107"/>
      <c r="M33" s="309"/>
    </row>
    <row r="34" spans="1:13" ht="76.5" x14ac:dyDescent="0.25">
      <c r="A34" s="107">
        <f>'Анализ рынка'!A38</f>
        <v>31</v>
      </c>
      <c r="B34" s="107" t="str">
        <f>'Анализ рынка'!D38</f>
        <v>нет</v>
      </c>
      <c r="C34" s="51" t="str">
        <f>'Анализ рынка'!F38</f>
        <v>Клей БФ-6 10 г</v>
      </c>
      <c r="D34" s="51" t="str">
        <f>'Анализ рынка'!G38</f>
        <v>ДИБУТИЛФТАЛАТ+КАНИФОЛЬ+КАСТОРОВОЕ МАСЛО+ПОЛИВИНИЛБУТИРАЛ+ ФЕНОЛФОРМАЛЬДЕГИДНАЯ СМОЛА+ЭТАНОЛ</v>
      </c>
      <c r="E34" s="51" t="str">
        <f>'Анализ рынка'!H38</f>
        <v>Раствор для наружного применения спиртовой</v>
      </c>
      <c r="F34" s="51" t="str">
        <f>'Анализ рынка'!K38</f>
        <v>10 г</v>
      </c>
      <c r="G34" s="107" t="str">
        <f>'Анализ рынка'!L38</f>
        <v>г</v>
      </c>
      <c r="H34" s="319" t="s">
        <v>180</v>
      </c>
      <c r="I34" s="319" t="str">
        <f>'Анализ рынка'!P38</f>
        <v>10</v>
      </c>
      <c r="J34" s="319">
        <f>'Анализ рынка'!Q38</f>
        <v>1</v>
      </c>
      <c r="K34" s="94" t="s">
        <v>301</v>
      </c>
      <c r="L34" s="107"/>
      <c r="M34" s="309"/>
    </row>
    <row r="35" spans="1:13" ht="38.25" x14ac:dyDescent="0.25">
      <c r="A35" s="107">
        <f>'Анализ рынка'!A39</f>
        <v>32</v>
      </c>
      <c r="B35" s="107" t="str">
        <f>'Анализ рынка'!D39</f>
        <v>да</v>
      </c>
      <c r="C35" s="51" t="str">
        <f>'Анализ рынка'!F39</f>
        <v>Лидокаин 10%</v>
      </c>
      <c r="D35" s="51" t="str">
        <f>'Анализ рынка'!G39</f>
        <v>Лидокаин</v>
      </c>
      <c r="E35" s="51" t="str">
        <f>'Анализ рынка'!H39</f>
        <v xml:space="preserve"> Спрей для местного и наружного применения дозированный</v>
      </c>
      <c r="F35" s="51" t="str">
        <f>'Анализ рынка'!K39</f>
        <v>38 г</v>
      </c>
      <c r="G35" s="107" t="str">
        <f>'Анализ рынка'!L39</f>
        <v>г</v>
      </c>
      <c r="H35" s="319">
        <v>239.21</v>
      </c>
      <c r="I35" s="319" t="str">
        <f>'Анализ рынка'!P39</f>
        <v xml:space="preserve">38 </v>
      </c>
      <c r="J35" s="319">
        <f>'Анализ рынка'!Q39</f>
        <v>1</v>
      </c>
      <c r="K35" s="94">
        <f t="shared" ref="K35:K36" si="1">H35/I35/J35</f>
        <v>6.2949999999999999</v>
      </c>
      <c r="L35" s="107" t="s">
        <v>410</v>
      </c>
      <c r="M35" s="309"/>
    </row>
    <row r="36" spans="1:13" x14ac:dyDescent="0.25">
      <c r="A36" s="107">
        <f>'Анализ рынка'!A40</f>
        <v>33</v>
      </c>
      <c r="B36" s="107" t="str">
        <f>'Анализ рынка'!D40</f>
        <v>да</v>
      </c>
      <c r="C36" s="51" t="str">
        <f>'Анализ рынка'!F40</f>
        <v>Трихопол 250 мг № 20</v>
      </c>
      <c r="D36" s="51" t="str">
        <f>'Анализ рынка'!G40</f>
        <v>МЕТРОНИДАЗОЛ</v>
      </c>
      <c r="E36" s="51" t="str">
        <f>'Анализ рынка'!H40</f>
        <v xml:space="preserve"> Таблетки</v>
      </c>
      <c r="F36" s="51" t="str">
        <f>'Анализ рынка'!K40</f>
        <v>20 шт.</v>
      </c>
      <c r="G36" s="107" t="str">
        <f>'Анализ рынка'!L40</f>
        <v>шт</v>
      </c>
      <c r="H36" s="319">
        <v>69.16</v>
      </c>
      <c r="I36" s="319" t="str">
        <f>'Анализ рынка'!P40</f>
        <v>20</v>
      </c>
      <c r="J36" s="319">
        <f>'Анализ рынка'!Q40</f>
        <v>1</v>
      </c>
      <c r="K36" s="94">
        <f t="shared" si="1"/>
        <v>3.4579999999999997</v>
      </c>
      <c r="L36" s="107" t="s">
        <v>415</v>
      </c>
      <c r="M36" s="309"/>
    </row>
    <row r="37" spans="1:13" x14ac:dyDescent="0.25">
      <c r="A37" s="107">
        <f>'Анализ рынка'!A41</f>
        <v>34</v>
      </c>
      <c r="B37" s="107" t="str">
        <f>'Анализ рынка'!D41</f>
        <v>нет</v>
      </c>
      <c r="C37" s="51" t="str">
        <f>'Анализ рынка'!F41</f>
        <v>Тетрациклин 100 мг № 20</v>
      </c>
      <c r="D37" s="51" t="str">
        <f>'Анализ рынка'!G41</f>
        <v>ТЕТРАЦИКЛИН</v>
      </c>
      <c r="E37" s="51" t="str">
        <f>'Анализ рынка'!H41</f>
        <v xml:space="preserve"> Таблетки, покрытые оболочкой</v>
      </c>
      <c r="F37" s="51" t="str">
        <f>'Анализ рынка'!K41</f>
        <v>20 шт.</v>
      </c>
      <c r="G37" s="107" t="str">
        <f>'Анализ рынка'!L41</f>
        <v>шт</v>
      </c>
      <c r="H37" s="319"/>
      <c r="I37" s="319"/>
      <c r="J37" s="319"/>
      <c r="K37" s="94" t="s">
        <v>301</v>
      </c>
      <c r="L37" s="107"/>
      <c r="M37" s="309"/>
    </row>
    <row r="38" spans="1:13" ht="25.5" x14ac:dyDescent="0.25">
      <c r="A38" s="107">
        <f>'Анализ рынка'!A42</f>
        <v>35</v>
      </c>
      <c r="B38" s="107" t="str">
        <f>'Анализ рынка'!D42</f>
        <v>да</v>
      </c>
      <c r="C38" s="51" t="str">
        <f>'Анализ рынка'!F42</f>
        <v>Метронидазол 5 мг/мл 100 мл</v>
      </c>
      <c r="D38" s="51" t="str">
        <f>'Анализ рынка'!G42</f>
        <v>Метронидазол</v>
      </c>
      <c r="E38" s="51" t="str">
        <f>'Анализ рынка'!H42</f>
        <v xml:space="preserve"> Раствор для инфузий</v>
      </c>
      <c r="F38" s="51" t="str">
        <f>'Анализ рынка'!K42</f>
        <v>100 мл</v>
      </c>
      <c r="G38" s="107" t="str">
        <f>'Анализ рынка'!L42</f>
        <v>мл</v>
      </c>
      <c r="H38" s="319">
        <v>26.69</v>
      </c>
      <c r="I38" s="319" t="str">
        <f>'Анализ рынка'!P42</f>
        <v>100</v>
      </c>
      <c r="J38" s="319">
        <f>'Анализ рынка'!Q42</f>
        <v>1</v>
      </c>
      <c r="K38" s="94">
        <f t="shared" ref="K38" si="2">H38/I38/J38</f>
        <v>0.26690000000000003</v>
      </c>
      <c r="L38" s="107" t="s">
        <v>411</v>
      </c>
      <c r="M38" s="309"/>
    </row>
    <row r="39" spans="1:13" ht="25.5" x14ac:dyDescent="0.25">
      <c r="A39" s="107">
        <f>'Анализ рынка'!A43</f>
        <v>36</v>
      </c>
      <c r="B39" s="107" t="str">
        <f>'Анализ рынка'!D43</f>
        <v>нет</v>
      </c>
      <c r="C39" s="51" t="str">
        <f>'Анализ рынка'!F43</f>
        <v>Метилурацил 10% 25</v>
      </c>
      <c r="D39" s="51" t="str">
        <f>'Анализ рынка'!G43</f>
        <v>ДИОКСОМЕТИЛТЕТРАГИДРОПИРИМИДИН</v>
      </c>
      <c r="E39" s="51" t="str">
        <f>'Анализ рынка'!H43</f>
        <v xml:space="preserve"> Мазь для наружного применения</v>
      </c>
      <c r="F39" s="51" t="str">
        <f>'Анализ рынка'!K43</f>
        <v>25 мл</v>
      </c>
      <c r="G39" s="107" t="str">
        <f>'Анализ рынка'!L43</f>
        <v>мл</v>
      </c>
      <c r="H39" s="319"/>
      <c r="I39" s="319"/>
      <c r="J39" s="319"/>
      <c r="K39" s="94" t="s">
        <v>301</v>
      </c>
      <c r="L39" s="107"/>
      <c r="M39" s="309"/>
    </row>
    <row r="40" spans="1:13" ht="25.5" x14ac:dyDescent="0.25">
      <c r="A40" s="107">
        <f>'Анализ рынка'!A44</f>
        <v>37</v>
      </c>
      <c r="B40" s="107" t="str">
        <f>'Анализ рынка'!D44</f>
        <v>нет</v>
      </c>
      <c r="C40" s="51" t="str">
        <f>'Анализ рынка'!F44</f>
        <v>Хлорофиллипт 2% 20 мл</v>
      </c>
      <c r="D40" s="51" t="str">
        <f>'Анализ рынка'!G44</f>
        <v>ЭВКАЛИПТА ЛИСТЬЕВ ЭКСТРАКТ</v>
      </c>
      <c r="E40" s="51" t="str">
        <f>'Анализ рынка'!H44</f>
        <v xml:space="preserve"> Раствор для местного и наружного применения</v>
      </c>
      <c r="F40" s="51" t="str">
        <f>'Анализ рынка'!K44</f>
        <v>20 мл</v>
      </c>
      <c r="G40" s="107" t="str">
        <f>'Анализ рынка'!L44</f>
        <v>мл</v>
      </c>
      <c r="H40" s="319"/>
      <c r="I40" s="319"/>
      <c r="J40" s="319"/>
      <c r="K40" s="94" t="s">
        <v>301</v>
      </c>
      <c r="L40" s="107"/>
      <c r="M40" s="309"/>
    </row>
    <row r="41" spans="1:13" ht="38.25" x14ac:dyDescent="0.25">
      <c r="A41" s="107">
        <f>'Анализ рынка'!A45</f>
        <v>38</v>
      </c>
      <c r="B41" s="107" t="str">
        <f>'Анализ рынка'!D45</f>
        <v>нет</v>
      </c>
      <c r="C41" s="51" t="str">
        <f>'Анализ рынка'!F45</f>
        <v>Облепиховое масло 50 мл</v>
      </c>
      <c r="D41" s="51" t="str">
        <f>'Анализ рынка'!G45</f>
        <v>ОБЛЕПИХИ МАСЛО</v>
      </c>
      <c r="E41" s="51" t="str">
        <f>'Анализ рынка'!H45</f>
        <v xml:space="preserve"> Масло для приема внутрь, местного и наружного применения</v>
      </c>
      <c r="F41" s="51" t="str">
        <f>'Анализ рынка'!K45</f>
        <v>50 мл</v>
      </c>
      <c r="G41" s="107" t="str">
        <f>'Анализ рынка'!L45</f>
        <v>мл</v>
      </c>
      <c r="H41" s="319"/>
      <c r="I41" s="319"/>
      <c r="J41" s="319"/>
      <c r="K41" s="94" t="s">
        <v>301</v>
      </c>
      <c r="L41" s="107"/>
      <c r="M41" s="309"/>
    </row>
    <row r="42" spans="1:13" ht="38.25" x14ac:dyDescent="0.25">
      <c r="A42" s="107">
        <f>'Анализ рынка'!A46</f>
        <v>39</v>
      </c>
      <c r="B42" s="107" t="str">
        <f>'Анализ рынка'!D46</f>
        <v>нет</v>
      </c>
      <c r="C42" s="51" t="str">
        <f>'Анализ рынка'!F46</f>
        <v>Шиповника масло 50 мл</v>
      </c>
      <c r="D42" s="51" t="str">
        <f>'Анализ рынка'!G46</f>
        <v>ШИПОВНИКА СЕМЯН МАСЛО</v>
      </c>
      <c r="E42" s="51" t="str">
        <f>'Анализ рынка'!H46</f>
        <v xml:space="preserve"> Масло для приема внутрь, местного и наружного применения</v>
      </c>
      <c r="F42" s="51" t="str">
        <f>'Анализ рынка'!K46</f>
        <v>50 мл</v>
      </c>
      <c r="G42" s="107" t="str">
        <f>'Анализ рынка'!L46</f>
        <v>мл</v>
      </c>
      <c r="H42" s="319"/>
      <c r="I42" s="319"/>
      <c r="J42" s="319"/>
      <c r="K42" s="94" t="s">
        <v>301</v>
      </c>
      <c r="L42" s="107"/>
      <c r="M42" s="309"/>
    </row>
    <row r="43" spans="1:13" ht="38.25" x14ac:dyDescent="0.25">
      <c r="A43" s="107">
        <f>'Анализ рынка'!A47</f>
        <v>40</v>
      </c>
      <c r="B43" s="107" t="str">
        <f>'Анализ рынка'!D47</f>
        <v>нет</v>
      </c>
      <c r="C43" s="51" t="str">
        <f>'Анализ рынка'!F47</f>
        <v>Гепариновая мазь 25 г</v>
      </c>
      <c r="D43" s="51" t="str">
        <f>'Анализ рынка'!G47</f>
        <v>ГЕПАРИН НАТРИЯ+БЕНЗОКАИН+БЕНЗИЛНИКОТИНАТ</v>
      </c>
      <c r="E43" s="51" t="str">
        <f>'Анализ рынка'!H47</f>
        <v xml:space="preserve"> Мазь для наружного применения</v>
      </c>
      <c r="F43" s="51" t="str">
        <f>'Анализ рынка'!K47</f>
        <v>25 г</v>
      </c>
      <c r="G43" s="107" t="str">
        <f>'Анализ рынка'!L47</f>
        <v>г</v>
      </c>
      <c r="H43" s="319"/>
      <c r="I43" s="319"/>
      <c r="J43" s="319"/>
      <c r="K43" s="94" t="s">
        <v>301</v>
      </c>
      <c r="L43" s="107"/>
      <c r="M43" s="309"/>
    </row>
    <row r="44" spans="1:13" ht="25.5" x14ac:dyDescent="0.25">
      <c r="A44" s="107">
        <f>'Анализ рынка'!A48</f>
        <v>41</v>
      </c>
      <c r="B44" s="107" t="str">
        <f>'Анализ рынка'!D48</f>
        <v>да</v>
      </c>
      <c r="C44" s="51" t="str">
        <f>'Анализ рынка'!F48</f>
        <v>Витамин А 3.44% 10 мл</v>
      </c>
      <c r="D44" s="51" t="str">
        <f>'Анализ рынка'!G48</f>
        <v>РЕТИНОЛ</v>
      </c>
      <c r="E44" s="51" t="str">
        <f>'Анализ рынка'!H48</f>
        <v xml:space="preserve"> Раствор для приема внутрь и наружного применения</v>
      </c>
      <c r="F44" s="51" t="str">
        <f>'Анализ рынка'!K48</f>
        <v>10 мл.</v>
      </c>
      <c r="G44" s="107" t="str">
        <f>'Анализ рынка'!L48</f>
        <v>мл</v>
      </c>
      <c r="H44" s="319">
        <v>22.48</v>
      </c>
      <c r="I44" s="319" t="str">
        <f>'Анализ рынка'!P48</f>
        <v>10</v>
      </c>
      <c r="J44" s="319">
        <f>'Анализ рынка'!Q48</f>
        <v>1</v>
      </c>
      <c r="K44" s="94">
        <f t="shared" ref="K44:K46" si="3">H44/I44/J44</f>
        <v>2.2480000000000002</v>
      </c>
      <c r="L44" s="107" t="s">
        <v>412</v>
      </c>
      <c r="M44" s="309"/>
    </row>
    <row r="45" spans="1:13" ht="25.5" x14ac:dyDescent="0.25">
      <c r="A45" s="107">
        <f>'Анализ рынка'!A49</f>
        <v>42</v>
      </c>
      <c r="B45" s="107" t="str">
        <f>'Анализ рынка'!D49</f>
        <v>да</v>
      </c>
      <c r="C45" s="51" t="str">
        <f>'Анализ рынка'!F49</f>
        <v>Витамин А 100000 МЕ/мл 10 мл</v>
      </c>
      <c r="D45" s="51" t="str">
        <f>'Анализ рынка'!G49</f>
        <v>РЕТИНОЛ</v>
      </c>
      <c r="E45" s="51" t="str">
        <f>'Анализ рынка'!H49</f>
        <v xml:space="preserve"> Раствор для приема внутрь</v>
      </c>
      <c r="F45" s="51" t="str">
        <f>'Анализ рынка'!K49</f>
        <v>10 мл.</v>
      </c>
      <c r="G45" s="107" t="str">
        <f>'Анализ рынка'!L49</f>
        <v>мл</v>
      </c>
      <c r="H45" s="319">
        <v>106.18</v>
      </c>
      <c r="I45" s="319" t="str">
        <f>'Анализ рынка'!P49</f>
        <v>10</v>
      </c>
      <c r="J45" s="319">
        <f>'Анализ рынка'!Q49</f>
        <v>1</v>
      </c>
      <c r="K45" s="94">
        <f t="shared" si="3"/>
        <v>10.618</v>
      </c>
      <c r="L45" s="107" t="s">
        <v>413</v>
      </c>
      <c r="M45" s="309"/>
    </row>
    <row r="46" spans="1:13" x14ac:dyDescent="0.25">
      <c r="A46" s="107">
        <f>'Анализ рынка'!A50</f>
        <v>43</v>
      </c>
      <c r="B46" s="107" t="str">
        <f>'Анализ рынка'!D50</f>
        <v>да</v>
      </c>
      <c r="C46" s="51" t="str">
        <f>'Анализ рынка'!F50</f>
        <v>Супрастин 25 мг № 20</v>
      </c>
      <c r="D46" s="51" t="str">
        <f>'Анализ рынка'!G50</f>
        <v>ХЛОРОПИРАМИН</v>
      </c>
      <c r="E46" s="51" t="str">
        <f>'Анализ рынка'!H50</f>
        <v xml:space="preserve"> Таблетки</v>
      </c>
      <c r="F46" s="51" t="str">
        <f>'Анализ рынка'!K50</f>
        <v xml:space="preserve"> 20 шт.</v>
      </c>
      <c r="G46" s="107" t="str">
        <f>'Анализ рынка'!L50</f>
        <v>шт</v>
      </c>
      <c r="H46" s="319">
        <v>114.39</v>
      </c>
      <c r="I46" s="319" t="str">
        <f>'Анализ рынка'!P50</f>
        <v xml:space="preserve"> 20</v>
      </c>
      <c r="J46" s="319">
        <f>'Анализ рынка'!Q50</f>
        <v>1</v>
      </c>
      <c r="K46" s="94">
        <f t="shared" si="3"/>
        <v>5.7195</v>
      </c>
      <c r="L46" s="107" t="s">
        <v>414</v>
      </c>
      <c r="M46" s="309"/>
    </row>
    <row r="47" spans="1:13" x14ac:dyDescent="0.25">
      <c r="A47" s="65" t="s">
        <v>423</v>
      </c>
      <c r="D47" s="309"/>
    </row>
    <row r="48" spans="1:13" x14ac:dyDescent="0.25">
      <c r="D48" s="324"/>
      <c r="E48" s="323"/>
      <c r="F48" s="323"/>
      <c r="G48" s="323"/>
    </row>
    <row r="49" spans="4:7" x14ac:dyDescent="0.25">
      <c r="D49" s="324"/>
      <c r="E49" s="323"/>
      <c r="F49" s="323"/>
      <c r="G49" s="323"/>
    </row>
  </sheetData>
  <sheetProtection algorithmName="SHA-512" hashValue="FSL850/tfOCBrR7oXG7j6g73thhAH9Pqk221Qh/yrKZljeTW6prQxZl2hE5McwNLKdiLWYT2elni1fiDmyeEbQ==" saltValue="gLgCa0+EHoUIjRy3JCThqA==" spinCount="100000" sheet="1" formatCells="0" formatColumns="0" formatRows="0" insertColumns="0" insertRows="0" insertHyperlinks="0" deleteColumns="0" deleteRows="0" selectLockedCells="1" sort="0" autoFilter="0" pivotTables="0"/>
  <autoFilter ref="A3:L47" xr:uid="{00000000-0001-0000-0400-000000000000}"/>
  <mergeCells count="1">
    <mergeCell ref="C1:L1"/>
  </mergeCells>
  <pageMargins left="0.11811023622047245" right="0.19685039370078741" top="0.35433070866141736" bottom="0.35433070866141736" header="0.31496062992125984" footer="0.31496062992125984"/>
  <pageSetup paperSize="9"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36"/>
  <sheetViews>
    <sheetView topLeftCell="D1" zoomScale="80" zoomScaleNormal="80" workbookViewId="0">
      <selection activeCell="Q47" sqref="Q47"/>
    </sheetView>
  </sheetViews>
  <sheetFormatPr defaultColWidth="9.140625" defaultRowHeight="15" x14ac:dyDescent="0.25"/>
  <cols>
    <col min="1" max="1" width="42.7109375" style="50" hidden="1" customWidth="1"/>
    <col min="2" max="2" width="7.28515625" style="52" hidden="1" customWidth="1"/>
    <col min="3" max="3" width="7.28515625" style="1" hidden="1" customWidth="1"/>
    <col min="4" max="4" width="3.42578125" style="1" customWidth="1"/>
    <col min="5" max="5" width="68.42578125" style="2" customWidth="1"/>
    <col min="6" max="6" width="13.42578125" style="2" hidden="1" customWidth="1"/>
    <col min="7" max="7" width="8.140625" style="2" customWidth="1"/>
    <col min="8" max="8" width="8.140625" style="2" hidden="1" customWidth="1"/>
    <col min="9" max="9" width="14.42578125" style="1" hidden="1" customWidth="1"/>
    <col min="10" max="11" width="8.140625" style="1" hidden="1" customWidth="1"/>
    <col min="12" max="12" width="11" style="1" customWidth="1"/>
    <col min="13" max="13" width="18.5703125" style="1" customWidth="1"/>
    <col min="14" max="14" width="14" style="1" customWidth="1"/>
    <col min="15" max="15" width="8.42578125" style="42" customWidth="1"/>
    <col min="16" max="16" width="15.140625" style="1" hidden="1" customWidth="1"/>
    <col min="17" max="19" width="12.42578125" style="1" customWidth="1"/>
    <col min="20" max="20" width="11.42578125" style="1" customWidth="1"/>
    <col min="21" max="21" width="6.42578125" style="1" customWidth="1"/>
    <col min="22" max="22" width="8.140625" style="1" customWidth="1"/>
    <col min="23" max="23" width="8.140625" style="42" customWidth="1"/>
    <col min="24" max="24" width="11.85546875" style="1" customWidth="1"/>
    <col min="25" max="25" width="5.5703125" style="1" customWidth="1"/>
    <col min="26" max="26" width="10.85546875" style="1" customWidth="1"/>
    <col min="27" max="27" width="7.140625" style="1" customWidth="1"/>
    <col min="28" max="28" width="8.140625" style="1" customWidth="1"/>
    <col min="29" max="29" width="8.7109375" style="42" customWidth="1"/>
    <col min="30" max="30" width="12.5703125" style="5" hidden="1" customWidth="1"/>
    <col min="31" max="31" width="5.5703125" style="5" hidden="1" customWidth="1"/>
    <col min="32" max="32" width="11.140625" style="5" hidden="1" customWidth="1"/>
    <col min="33" max="33" width="7.42578125" style="3" hidden="1" customWidth="1"/>
    <col min="34" max="34" width="8.7109375" style="6" hidden="1" customWidth="1"/>
    <col min="35" max="35" width="9" style="11" hidden="1" customWidth="1"/>
    <col min="36" max="36" width="9.140625" style="1"/>
    <col min="37" max="37" width="9.42578125" style="1" customWidth="1"/>
    <col min="38" max="38" width="8.28515625" style="1" customWidth="1"/>
    <col min="39" max="39" width="6.7109375" style="1" customWidth="1"/>
    <col min="40" max="40" width="13.85546875" style="1" customWidth="1"/>
    <col min="41" max="41" width="13.85546875" style="1" bestFit="1" customWidth="1"/>
    <col min="42" max="42" width="16.7109375" style="1" customWidth="1"/>
    <col min="43" max="43" width="14.85546875" style="1" customWidth="1"/>
    <col min="44" max="16384" width="9.140625" style="1"/>
  </cols>
  <sheetData>
    <row r="1" spans="1:39" ht="81" customHeight="1" x14ac:dyDescent="0.2">
      <c r="E1" s="365" t="s">
        <v>25</v>
      </c>
      <c r="F1" s="365"/>
      <c r="G1" s="365"/>
      <c r="H1" s="365"/>
      <c r="I1" s="365"/>
      <c r="J1" s="365"/>
      <c r="K1" s="365"/>
      <c r="L1" s="365"/>
      <c r="M1" s="365"/>
      <c r="N1" s="365"/>
      <c r="O1" s="365"/>
      <c r="P1" s="20"/>
      <c r="Q1" s="20"/>
      <c r="R1" s="20"/>
      <c r="S1" s="20"/>
      <c r="T1" s="20"/>
      <c r="U1" s="20"/>
      <c r="V1" s="20"/>
      <c r="W1" s="20"/>
      <c r="X1" s="20"/>
      <c r="Y1" s="20"/>
      <c r="Z1" s="20"/>
      <c r="AA1" s="20"/>
      <c r="AB1" s="20"/>
      <c r="AC1" s="20"/>
      <c r="AD1" s="31"/>
      <c r="AE1" s="31"/>
      <c r="AF1" s="31"/>
      <c r="AG1" s="31"/>
      <c r="AH1" s="31"/>
      <c r="AI1" s="31"/>
      <c r="AJ1" s="20"/>
      <c r="AK1" s="20"/>
      <c r="AL1" s="20"/>
      <c r="AM1" s="20"/>
    </row>
    <row r="2" spans="1:39" ht="49.5" customHeight="1" x14ac:dyDescent="0.2">
      <c r="E2" s="367" t="s">
        <v>399</v>
      </c>
      <c r="F2" s="367"/>
      <c r="G2" s="367"/>
      <c r="H2" s="367"/>
      <c r="I2" s="367"/>
      <c r="J2" s="367"/>
      <c r="K2" s="367"/>
      <c r="L2" s="367"/>
      <c r="M2" s="367"/>
      <c r="N2" s="367"/>
      <c r="O2" s="367"/>
      <c r="P2" s="35"/>
      <c r="Q2" s="17"/>
      <c r="R2" s="17"/>
      <c r="S2" s="17"/>
      <c r="T2" s="17"/>
      <c r="U2" s="17"/>
      <c r="V2" s="17"/>
      <c r="W2" s="17"/>
      <c r="X2" s="17"/>
      <c r="Y2" s="17"/>
      <c r="Z2" s="17"/>
      <c r="AA2" s="17"/>
      <c r="AB2" s="17"/>
      <c r="AC2" s="17"/>
      <c r="AD2" s="18"/>
      <c r="AE2" s="18"/>
      <c r="AF2" s="18"/>
      <c r="AG2" s="17"/>
      <c r="AH2" s="19"/>
      <c r="AI2" s="12"/>
    </row>
    <row r="3" spans="1:39" ht="15" hidden="1" customHeight="1" x14ac:dyDescent="0.2">
      <c r="E3" s="366" t="s">
        <v>26</v>
      </c>
      <c r="F3" s="366"/>
      <c r="G3" s="366"/>
      <c r="H3" s="366"/>
      <c r="I3" s="366"/>
      <c r="J3" s="366"/>
      <c r="K3" s="366"/>
      <c r="L3" s="366"/>
      <c r="M3" s="366"/>
      <c r="N3" s="366"/>
      <c r="O3" s="366"/>
      <c r="P3" s="128"/>
      <c r="Q3" s="17"/>
      <c r="R3" s="17"/>
      <c r="S3" s="17"/>
      <c r="T3" s="17"/>
      <c r="U3" s="17"/>
      <c r="V3" s="17"/>
      <c r="W3" s="17"/>
      <c r="X3" s="17"/>
      <c r="Y3" s="17"/>
      <c r="Z3" s="17"/>
      <c r="AA3" s="17"/>
      <c r="AB3" s="17"/>
      <c r="AC3" s="17"/>
      <c r="AD3" s="18"/>
      <c r="AE3" s="18"/>
      <c r="AF3" s="18"/>
      <c r="AG3" s="17"/>
      <c r="AH3" s="19"/>
      <c r="AI3" s="12"/>
    </row>
    <row r="4" spans="1:39" s="131" customFormat="1" x14ac:dyDescent="0.2">
      <c r="A4" s="132"/>
      <c r="B4" s="133"/>
      <c r="D4" s="134">
        <v>1</v>
      </c>
      <c r="E4" s="134">
        <v>2</v>
      </c>
      <c r="F4" s="134">
        <v>3</v>
      </c>
      <c r="G4" s="134">
        <v>4</v>
      </c>
      <c r="H4" s="134">
        <v>5</v>
      </c>
      <c r="I4" s="134">
        <v>6</v>
      </c>
      <c r="J4" s="134">
        <v>7</v>
      </c>
      <c r="K4" s="134">
        <v>8</v>
      </c>
      <c r="L4" s="134">
        <v>9</v>
      </c>
      <c r="M4" s="134">
        <v>10</v>
      </c>
      <c r="N4" s="134">
        <v>11</v>
      </c>
      <c r="O4" s="134">
        <v>12</v>
      </c>
      <c r="P4" s="134">
        <v>13</v>
      </c>
      <c r="Q4" s="135"/>
      <c r="R4" s="135"/>
      <c r="S4" s="135"/>
      <c r="T4" s="135"/>
      <c r="U4" s="135"/>
      <c r="V4" s="135"/>
      <c r="W4" s="135"/>
      <c r="X4" s="135"/>
      <c r="Y4" s="135"/>
      <c r="Z4" s="135"/>
      <c r="AA4" s="135"/>
      <c r="AB4" s="135"/>
      <c r="AC4" s="135"/>
      <c r="AD4" s="18"/>
      <c r="AE4" s="18"/>
      <c r="AF4" s="18"/>
      <c r="AG4" s="17"/>
      <c r="AH4" s="19"/>
      <c r="AI4" s="12"/>
    </row>
    <row r="5" spans="1:39" s="14" customFormat="1" ht="60" hidden="1" customHeight="1" x14ac:dyDescent="0.25">
      <c r="A5" s="123"/>
      <c r="B5" s="115" t="s">
        <v>165</v>
      </c>
      <c r="C5" s="173" t="str">
        <f>Таблица3[[#Headers],[ЖНВЛП]]</f>
        <v>ЖНВЛП</v>
      </c>
      <c r="D5" s="45" t="s">
        <v>27</v>
      </c>
      <c r="E5" s="45" t="s">
        <v>4</v>
      </c>
      <c r="F5" s="46" t="s">
        <v>5</v>
      </c>
      <c r="G5" s="46" t="s">
        <v>7</v>
      </c>
      <c r="H5" s="46"/>
      <c r="I5" s="46" t="s">
        <v>31</v>
      </c>
      <c r="J5" s="363" t="s">
        <v>29</v>
      </c>
      <c r="K5" s="364"/>
      <c r="L5" s="118" t="s">
        <v>28</v>
      </c>
      <c r="M5" s="34" t="s">
        <v>54</v>
      </c>
      <c r="N5" s="34" t="s">
        <v>55</v>
      </c>
      <c r="O5" s="119" t="s">
        <v>56</v>
      </c>
      <c r="P5" s="118" t="s">
        <v>57</v>
      </c>
      <c r="Q5" s="17"/>
      <c r="R5" s="17"/>
      <c r="S5" s="17"/>
      <c r="T5" s="17"/>
      <c r="U5" s="17"/>
      <c r="V5" s="17"/>
      <c r="W5" s="17"/>
      <c r="X5" s="17"/>
      <c r="Y5" s="17"/>
      <c r="Z5" s="17"/>
      <c r="AA5" s="17"/>
      <c r="AB5" s="17"/>
      <c r="AC5" s="17"/>
      <c r="AD5" s="18"/>
      <c r="AE5" s="18"/>
      <c r="AF5" s="18"/>
      <c r="AG5" s="17"/>
      <c r="AH5" s="23"/>
      <c r="AI5" s="24"/>
    </row>
    <row r="6" spans="1:39" s="14" customFormat="1" ht="15" hidden="1" customHeight="1" x14ac:dyDescent="0.25">
      <c r="A6" s="124">
        <f>'Анализ рынка'!B8</f>
        <v>1</v>
      </c>
      <c r="B6" s="115">
        <f>'Анализ рынка'!AF8</f>
        <v>10</v>
      </c>
      <c r="C6" s="174">
        <f>'Тарифный метод'!L4</f>
        <v>0</v>
      </c>
      <c r="D6" s="47">
        <f>'Анализ рынка'!A8</f>
        <v>1</v>
      </c>
      <c r="E6" s="124" t="str">
        <f>'Анализ рынка'!G8</f>
        <v>Папаверин</v>
      </c>
      <c r="F6" s="47" t="str">
        <f>'Анализ рынка'!H8</f>
        <v>Раствор для инъекций</v>
      </c>
      <c r="G6" s="117" t="str">
        <f>'Анализ рынка'!L8</f>
        <v>мл</v>
      </c>
      <c r="H6" s="117"/>
      <c r="I6" s="25"/>
      <c r="J6" s="49"/>
      <c r="K6" s="49"/>
      <c r="L6" s="120" t="s">
        <v>180</v>
      </c>
      <c r="M6" s="33"/>
      <c r="N6" s="33"/>
      <c r="O6" s="33"/>
      <c r="P6" s="33" t="s">
        <v>300</v>
      </c>
      <c r="Q6" s="43"/>
      <c r="R6" s="43"/>
      <c r="S6" s="43"/>
      <c r="T6" s="48"/>
      <c r="V6" s="21"/>
      <c r="W6" s="21"/>
      <c r="X6" s="21"/>
      <c r="Y6" s="17"/>
      <c r="Z6" s="17"/>
      <c r="AB6" s="17"/>
      <c r="AC6" s="17"/>
      <c r="AD6" s="18"/>
      <c r="AE6" s="18"/>
      <c r="AF6" s="18"/>
      <c r="AG6" s="17"/>
      <c r="AH6" s="23"/>
      <c r="AI6" s="24"/>
    </row>
    <row r="7" spans="1:39" s="14" customFormat="1" hidden="1" x14ac:dyDescent="0.25">
      <c r="A7" s="47">
        <f>'Анализ рынка'!B9</f>
        <v>2</v>
      </c>
      <c r="B7" s="115">
        <f>'Анализ рынка'!AF9</f>
        <v>5</v>
      </c>
      <c r="C7" s="174">
        <f>'Тарифный метод'!L5</f>
        <v>0</v>
      </c>
      <c r="D7" s="47">
        <f>'Анализ рынка'!A9</f>
        <v>2</v>
      </c>
      <c r="E7" s="124" t="str">
        <f>'Анализ рынка'!G9</f>
        <v>Метамизол натрия</v>
      </c>
      <c r="F7" s="47" t="str">
        <f>'Анализ рынка'!H9</f>
        <v>Раствор для внутривенного и внутримышечного введения</v>
      </c>
      <c r="G7" s="117" t="str">
        <f>'Анализ рынка'!L9</f>
        <v>мл</v>
      </c>
      <c r="H7" s="117"/>
      <c r="I7" s="25"/>
      <c r="J7" s="25"/>
      <c r="K7" s="49"/>
      <c r="L7" s="120" t="s">
        <v>180</v>
      </c>
      <c r="M7" s="33"/>
      <c r="N7" s="33"/>
      <c r="O7" s="33"/>
      <c r="P7" s="33"/>
      <c r="Q7" s="43"/>
      <c r="R7" s="43"/>
      <c r="S7" s="43"/>
      <c r="T7" s="48"/>
      <c r="V7" s="21"/>
      <c r="W7" s="21"/>
      <c r="X7" s="21"/>
      <c r="Y7" s="17"/>
      <c r="Z7" s="17"/>
      <c r="AB7" s="17"/>
      <c r="AC7" s="17"/>
      <c r="AD7" s="18"/>
      <c r="AE7" s="18"/>
      <c r="AF7" s="18"/>
      <c r="AG7" s="17"/>
      <c r="AH7" s="23"/>
      <c r="AI7" s="24"/>
    </row>
    <row r="8" spans="1:39" s="14" customFormat="1" ht="15" hidden="1" customHeight="1" x14ac:dyDescent="0.25">
      <c r="A8" s="124">
        <f>'Анализ рынка'!B10</f>
        <v>3</v>
      </c>
      <c r="B8" s="115">
        <f>'Анализ рынка'!AF10</f>
        <v>7</v>
      </c>
      <c r="C8" s="174">
        <f>'Тарифный метод'!L6</f>
        <v>0</v>
      </c>
      <c r="D8" s="47">
        <f>'Анализ рынка'!A10</f>
        <v>3</v>
      </c>
      <c r="E8" s="124" t="str">
        <f>'Анализ рынка'!G10</f>
        <v>Бендазол</v>
      </c>
      <c r="F8" s="47" t="str">
        <f>'Анализ рынка'!H10</f>
        <v>Раствор для внутривенного и внутримышечного введения</v>
      </c>
      <c r="G8" s="117" t="str">
        <f>'Анализ рынка'!L10</f>
        <v>мл</v>
      </c>
      <c r="H8" s="117"/>
      <c r="I8" s="121">
        <v>194.89</v>
      </c>
      <c r="J8" s="122">
        <v>25</v>
      </c>
      <c r="K8" s="49">
        <v>1</v>
      </c>
      <c r="L8" s="120" t="s">
        <v>180</v>
      </c>
      <c r="M8" s="33"/>
      <c r="N8" s="33"/>
      <c r="O8" s="39"/>
      <c r="P8" s="33"/>
      <c r="Q8" s="43"/>
      <c r="R8" s="43"/>
      <c r="S8" s="43"/>
      <c r="T8" s="48"/>
      <c r="V8" s="21"/>
      <c r="W8" s="21"/>
      <c r="X8" s="21"/>
      <c r="Y8" s="17"/>
      <c r="Z8" s="17"/>
      <c r="AB8" s="17"/>
      <c r="AC8" s="17"/>
      <c r="AD8" s="18"/>
      <c r="AE8" s="18"/>
      <c r="AF8" s="18"/>
      <c r="AG8" s="17"/>
      <c r="AH8" s="23"/>
      <c r="AI8" s="24"/>
    </row>
    <row r="9" spans="1:39" s="14" customFormat="1" ht="15" hidden="1" customHeight="1" x14ac:dyDescent="0.25">
      <c r="A9" s="124">
        <f>'Анализ рынка'!B11</f>
        <v>4</v>
      </c>
      <c r="B9" s="115">
        <f>'Анализ рынка'!AF11</f>
        <v>5</v>
      </c>
      <c r="C9" s="174">
        <f>'Тарифный метод'!L7</f>
        <v>0</v>
      </c>
      <c r="D9" s="47">
        <f>'Анализ рынка'!A11</f>
        <v>4</v>
      </c>
      <c r="E9" s="172" t="str">
        <f>'Анализ рынка'!G11</f>
        <v>Дифенгидрамин</v>
      </c>
      <c r="F9" s="47" t="str">
        <f>'Анализ рынка'!H11</f>
        <v>Раствор для внутривенного и внутримышечного введения</v>
      </c>
      <c r="G9" s="117" t="str">
        <f>'Анализ рынка'!L11</f>
        <v>мл</v>
      </c>
      <c r="H9" s="117"/>
      <c r="I9" s="25"/>
      <c r="J9" s="49"/>
      <c r="K9" s="49"/>
      <c r="L9" s="120" t="s">
        <v>180</v>
      </c>
      <c r="M9" s="33"/>
      <c r="N9" s="33"/>
      <c r="O9" s="39"/>
      <c r="P9" s="33"/>
      <c r="Q9" s="43"/>
      <c r="R9" s="43"/>
      <c r="S9" s="43"/>
      <c r="T9" s="48"/>
      <c r="V9" s="21"/>
      <c r="W9" s="21"/>
      <c r="X9" s="21"/>
      <c r="Y9" s="17"/>
      <c r="Z9" s="17"/>
      <c r="AB9" s="17"/>
      <c r="AC9" s="17"/>
      <c r="AD9" s="18"/>
      <c r="AE9" s="18"/>
      <c r="AF9" s="18"/>
      <c r="AG9" s="17"/>
      <c r="AH9" s="23"/>
      <c r="AI9" s="24"/>
    </row>
    <row r="10" spans="1:39" s="14" customFormat="1" hidden="1" x14ac:dyDescent="0.25">
      <c r="A10" s="47">
        <f>'Анализ рынка'!B12</f>
        <v>0</v>
      </c>
      <c r="B10" s="115">
        <f>'Анализ рынка'!AF12</f>
        <v>0</v>
      </c>
      <c r="C10" s="174">
        <f>'Тарифный метод'!L8</f>
        <v>0</v>
      </c>
      <c r="D10" s="47">
        <f>'Анализ рынка'!A12</f>
        <v>5</v>
      </c>
      <c r="E10" s="124" t="str">
        <f>'Анализ рынка'!G12</f>
        <v>Линкомицин</v>
      </c>
      <c r="F10" s="47" t="str">
        <f>'Анализ рынка'!H12</f>
        <v>Раствор для внутривенного и внутримышечного введения</v>
      </c>
      <c r="G10" s="117" t="str">
        <f>'Анализ рынка'!L12</f>
        <v>мл</v>
      </c>
      <c r="H10" s="117"/>
      <c r="I10" s="25"/>
      <c r="J10" s="25"/>
      <c r="K10" s="49"/>
      <c r="L10" s="120" t="s">
        <v>180</v>
      </c>
      <c r="M10" s="33"/>
      <c r="N10" s="33"/>
      <c r="O10" s="39"/>
      <c r="P10" s="33"/>
      <c r="Q10" s="43"/>
      <c r="R10" s="43"/>
      <c r="S10" s="43"/>
      <c r="T10" s="48"/>
      <c r="V10" s="21"/>
      <c r="W10" s="21"/>
      <c r="X10" s="21"/>
      <c r="Y10" s="17"/>
      <c r="Z10" s="17"/>
      <c r="AB10" s="17"/>
      <c r="AC10" s="17"/>
      <c r="AD10" s="18"/>
      <c r="AE10" s="18"/>
      <c r="AF10" s="18"/>
      <c r="AG10" s="17"/>
      <c r="AH10" s="23"/>
      <c r="AI10" s="24"/>
    </row>
    <row r="11" spans="1:39" s="14" customFormat="1" ht="15" hidden="1" customHeight="1" x14ac:dyDescent="0.25">
      <c r="A11" s="124">
        <f>'Анализ рынка'!B13</f>
        <v>5</v>
      </c>
      <c r="B11" s="115">
        <f>'Анализ рынка'!AF13</f>
        <v>230</v>
      </c>
      <c r="C11" s="174" t="str">
        <f>'Тарифный метод'!L9</f>
        <v>ЛСР-000780/08</v>
      </c>
      <c r="D11" s="47">
        <f>'Анализ рынка'!A13</f>
        <v>6</v>
      </c>
      <c r="E11" s="172" t="str">
        <f>'Анализ рынка'!G13</f>
        <v>Эпинефрин</v>
      </c>
      <c r="F11" s="47" t="str">
        <f>'Анализ рынка'!H13</f>
        <v>Раствор для инъекций</v>
      </c>
      <c r="G11" s="117" t="str">
        <f>'Анализ рынка'!L13</f>
        <v>мл</v>
      </c>
      <c r="H11" s="117"/>
      <c r="I11" s="121">
        <v>64.19</v>
      </c>
      <c r="J11" s="122">
        <v>5</v>
      </c>
      <c r="K11" s="49">
        <v>1</v>
      </c>
      <c r="L11" s="120" t="s">
        <v>180</v>
      </c>
      <c r="M11" s="33"/>
      <c r="N11" s="33"/>
      <c r="O11" s="33"/>
      <c r="P11" s="33"/>
      <c r="Q11" s="43"/>
      <c r="R11" s="43"/>
      <c r="S11" s="43"/>
      <c r="T11" s="48"/>
      <c r="V11" s="21"/>
      <c r="W11" s="21"/>
      <c r="X11" s="21"/>
      <c r="Y11" s="17"/>
      <c r="Z11" s="17"/>
      <c r="AB11" s="17"/>
      <c r="AC11" s="17"/>
      <c r="AD11" s="18"/>
      <c r="AE11" s="18"/>
      <c r="AF11" s="18"/>
      <c r="AG11" s="17"/>
      <c r="AH11" s="23"/>
      <c r="AI11" s="24"/>
    </row>
    <row r="12" spans="1:39" s="14" customFormat="1" ht="15" hidden="1" customHeight="1" x14ac:dyDescent="0.25">
      <c r="A12" s="124">
        <f>'Анализ рынка'!B14</f>
        <v>6</v>
      </c>
      <c r="B12" s="115">
        <f>'Анализ рынка'!AF14</f>
        <v>6</v>
      </c>
      <c r="C12" s="174" t="str">
        <f>'Тарифный метод'!L10</f>
        <v>Р N000193/02</v>
      </c>
      <c r="D12" s="47">
        <f>'Анализ рынка'!A14</f>
        <v>7</v>
      </c>
      <c r="E12" s="172" t="str">
        <f>'Анализ рынка'!G14</f>
        <v>Фуросемид</v>
      </c>
      <c r="F12" s="47" t="str">
        <f>'Анализ рынка'!H14</f>
        <v>Раствор для внутривенного и внутримышечного введения</v>
      </c>
      <c r="G12" s="117" t="str">
        <f>'Анализ рынка'!L14</f>
        <v>мл</v>
      </c>
      <c r="H12" s="117"/>
      <c r="I12" s="121">
        <v>47.6</v>
      </c>
      <c r="J12" s="122">
        <v>10</v>
      </c>
      <c r="K12" s="49">
        <v>2</v>
      </c>
      <c r="L12" s="120" t="s">
        <v>180</v>
      </c>
      <c r="M12" s="33"/>
      <c r="N12" s="33"/>
      <c r="O12" s="33"/>
      <c r="P12" s="33"/>
      <c r="Q12" s="43"/>
      <c r="R12" s="43"/>
      <c r="S12" s="43"/>
      <c r="T12" s="48"/>
      <c r="V12" s="21"/>
      <c r="W12" s="21"/>
      <c r="X12" s="21"/>
      <c r="Y12" s="17"/>
      <c r="Z12" s="17"/>
      <c r="AB12" s="17"/>
      <c r="AC12" s="17"/>
      <c r="AD12" s="18"/>
      <c r="AE12" s="18"/>
      <c r="AF12" s="18"/>
      <c r="AG12" s="17"/>
      <c r="AH12" s="23"/>
      <c r="AI12" s="24"/>
    </row>
    <row r="13" spans="1:39" s="14" customFormat="1" hidden="1" x14ac:dyDescent="0.25">
      <c r="A13" s="47">
        <f>'Анализ рынка'!B15</f>
        <v>7</v>
      </c>
      <c r="B13" s="115">
        <f>'Анализ рынка'!AF15</f>
        <v>6</v>
      </c>
      <c r="C13" s="174" t="str">
        <f>'Тарифный метод'!L11</f>
        <v>П N013516/01</v>
      </c>
      <c r="D13" s="47">
        <f>'Анализ рынка'!A15</f>
        <v>8</v>
      </c>
      <c r="E13" s="124" t="str">
        <f>'Анализ рынка'!G15</f>
        <v>Аминофиллин</v>
      </c>
      <c r="F13" s="47" t="str">
        <f>'Анализ рынка'!H15</f>
        <v>Раствор для внутривенного введения</v>
      </c>
      <c r="G13" s="117" t="str">
        <f>'Анализ рынка'!L15</f>
        <v>мл</v>
      </c>
      <c r="H13" s="117"/>
      <c r="I13" s="25"/>
      <c r="J13" s="25"/>
      <c r="K13" s="49"/>
      <c r="L13" s="120" t="s">
        <v>180</v>
      </c>
      <c r="M13" s="33"/>
      <c r="N13" s="33"/>
      <c r="O13" s="33"/>
      <c r="P13" s="33"/>
      <c r="Q13" s="43"/>
      <c r="R13" s="43"/>
      <c r="S13" s="43"/>
      <c r="T13" s="48"/>
      <c r="V13" s="21"/>
      <c r="W13" s="21"/>
      <c r="X13" s="21"/>
      <c r="Y13" s="17"/>
      <c r="Z13" s="17"/>
      <c r="AB13" s="17"/>
      <c r="AC13" s="17"/>
      <c r="AD13" s="18"/>
      <c r="AE13" s="18"/>
      <c r="AF13" s="18"/>
      <c r="AG13" s="17"/>
      <c r="AH13" s="23"/>
      <c r="AI13" s="24"/>
    </row>
    <row r="14" spans="1:39" s="14" customFormat="1" ht="15" hidden="1" customHeight="1" x14ac:dyDescent="0.25">
      <c r="A14" s="124">
        <f>'Анализ рынка'!B16</f>
        <v>8</v>
      </c>
      <c r="B14" s="115">
        <f>'Анализ рынка'!AF16</f>
        <v>20</v>
      </c>
      <c r="C14" s="174">
        <f>'Тарифный метод'!L12</f>
        <v>0</v>
      </c>
      <c r="D14" s="47">
        <f>'Анализ рынка'!A16</f>
        <v>9</v>
      </c>
      <c r="E14" s="124" t="str">
        <f>'Анализ рынка'!G16</f>
        <v>Пустырника травы настойка</v>
      </c>
      <c r="F14" s="47" t="str">
        <f>'Анализ рынка'!H16</f>
        <v>Настойка</v>
      </c>
      <c r="G14" s="117" t="str">
        <f>'Анализ рынка'!L16</f>
        <v>мл</v>
      </c>
      <c r="H14" s="117"/>
      <c r="I14" s="121">
        <v>74.11</v>
      </c>
      <c r="J14" s="122">
        <v>10</v>
      </c>
      <c r="K14" s="49">
        <v>10</v>
      </c>
      <c r="L14" s="120" t="s">
        <v>180</v>
      </c>
      <c r="M14" s="33"/>
      <c r="N14" s="33"/>
      <c r="O14" s="33"/>
      <c r="P14" s="33"/>
      <c r="Q14" s="43"/>
      <c r="R14" s="43"/>
      <c r="S14" s="43"/>
      <c r="T14" s="48"/>
      <c r="V14" s="21"/>
      <c r="W14" s="21"/>
      <c r="X14" s="21"/>
      <c r="Y14" s="17"/>
      <c r="Z14" s="17"/>
      <c r="AB14" s="17"/>
      <c r="AC14" s="17"/>
      <c r="AD14" s="18"/>
      <c r="AE14" s="18"/>
      <c r="AF14" s="18"/>
      <c r="AG14" s="17"/>
      <c r="AH14" s="23"/>
      <c r="AI14" s="24"/>
    </row>
    <row r="15" spans="1:39" s="14" customFormat="1" hidden="1" x14ac:dyDescent="0.25">
      <c r="A15" s="47">
        <f>'Анализ рынка'!B17</f>
        <v>9</v>
      </c>
      <c r="B15" s="115">
        <f>'Анализ рынка'!AF17</f>
        <v>20</v>
      </c>
      <c r="C15" s="174">
        <f>'Тарифный метод'!L13</f>
        <v>0</v>
      </c>
      <c r="D15" s="47">
        <f>'Анализ рынка'!A17</f>
        <v>10</v>
      </c>
      <c r="E15" s="124" t="str">
        <f>'Анализ рынка'!G17</f>
        <v>Валерианы лекарственной корневища с корнями</v>
      </c>
      <c r="F15" s="47" t="str">
        <f>'Анализ рынка'!H17</f>
        <v>Настойка</v>
      </c>
      <c r="G15" s="117" t="str">
        <f>'Анализ рынка'!L17</f>
        <v>мл</v>
      </c>
      <c r="H15" s="117"/>
      <c r="I15" s="25"/>
      <c r="J15" s="25"/>
      <c r="K15" s="49"/>
      <c r="L15" s="120" t="s">
        <v>180</v>
      </c>
      <c r="M15" s="33"/>
      <c r="N15" s="33"/>
      <c r="O15" s="39"/>
      <c r="P15" s="33"/>
      <c r="Q15" s="43"/>
      <c r="R15" s="43"/>
      <c r="S15" s="43"/>
      <c r="T15" s="48"/>
      <c r="V15" s="21"/>
      <c r="W15" s="21"/>
      <c r="X15" s="21"/>
      <c r="Y15" s="17"/>
      <c r="Z15" s="17"/>
      <c r="AB15" s="17"/>
      <c r="AC15" s="17"/>
      <c r="AD15" s="18"/>
      <c r="AE15" s="18"/>
      <c r="AF15" s="18"/>
      <c r="AG15" s="17"/>
      <c r="AH15" s="23"/>
      <c r="AI15" s="24"/>
    </row>
    <row r="16" spans="1:39" s="14" customFormat="1" hidden="1" x14ac:dyDescent="0.25">
      <c r="A16" s="124">
        <f>'Анализ рынка'!B18</f>
        <v>0</v>
      </c>
      <c r="B16" s="115">
        <f>'Анализ рынка'!AF18</f>
        <v>0</v>
      </c>
      <c r="C16" s="174">
        <f>'Тарифный метод'!L14</f>
        <v>0</v>
      </c>
      <c r="D16" s="47">
        <f>'Анализ рынка'!A18</f>
        <v>11</v>
      </c>
      <c r="E16" s="172" t="str">
        <f>'Анализ рынка'!G18</f>
        <v>Ацетилсалициловая кислота</v>
      </c>
      <c r="F16" s="47" t="str">
        <f>'Анализ рынка'!H18</f>
        <v>Таблетки</v>
      </c>
      <c r="G16" s="117" t="str">
        <f>'Анализ рынка'!L18</f>
        <v>шт</v>
      </c>
      <c r="H16" s="117"/>
      <c r="I16" s="25"/>
      <c r="J16" s="49"/>
      <c r="K16" s="49"/>
      <c r="L16" s="120" t="s">
        <v>180</v>
      </c>
      <c r="M16" s="33"/>
      <c r="N16" s="33"/>
      <c r="O16" s="39"/>
      <c r="P16" s="33"/>
      <c r="Q16" s="43"/>
      <c r="R16" s="43"/>
      <c r="S16" s="43"/>
      <c r="T16" s="48"/>
      <c r="V16" s="21"/>
      <c r="W16" s="21"/>
      <c r="X16" s="21"/>
      <c r="Y16" s="17"/>
      <c r="Z16" s="17"/>
      <c r="AB16" s="17"/>
      <c r="AC16" s="17"/>
      <c r="AD16" s="18"/>
      <c r="AE16" s="18"/>
      <c r="AF16" s="18"/>
      <c r="AG16" s="17"/>
      <c r="AH16" s="23"/>
      <c r="AI16" s="24"/>
    </row>
    <row r="17" spans="1:35" s="14" customFormat="1" hidden="1" x14ac:dyDescent="0.25">
      <c r="A17" s="47">
        <f>'Анализ рынка'!B19</f>
        <v>10</v>
      </c>
      <c r="B17" s="115">
        <f>'Анализ рынка'!AF19</f>
        <v>10</v>
      </c>
      <c r="C17" s="174">
        <f>'Тарифный метод'!L15</f>
        <v>0</v>
      </c>
      <c r="D17" s="47">
        <f>'Анализ рынка'!A19</f>
        <v>12</v>
      </c>
      <c r="E17" s="124" t="str">
        <f>'Анализ рынка'!G19</f>
        <v>Бендазол + Метамизол натрия + Папаверин + Фенобарбитал</v>
      </c>
      <c r="F17" s="47" t="str">
        <f>'Анализ рынка'!H19</f>
        <v>Таблетки</v>
      </c>
      <c r="G17" s="117" t="str">
        <f>'Анализ рынка'!L19</f>
        <v>шт</v>
      </c>
      <c r="H17" s="117"/>
      <c r="I17" s="25"/>
      <c r="J17" s="25"/>
      <c r="K17" s="49"/>
      <c r="L17" s="120" t="s">
        <v>180</v>
      </c>
      <c r="M17" s="33"/>
      <c r="N17" s="33"/>
      <c r="O17" s="33"/>
      <c r="P17" s="33"/>
      <c r="Q17" s="43"/>
      <c r="R17" s="43"/>
      <c r="S17" s="43"/>
      <c r="T17" s="48"/>
      <c r="V17" s="21"/>
      <c r="W17" s="21"/>
      <c r="X17" s="21"/>
      <c r="Y17" s="17"/>
      <c r="Z17" s="17"/>
      <c r="AB17" s="17"/>
      <c r="AC17" s="17"/>
      <c r="AD17" s="18"/>
      <c r="AE17" s="18"/>
      <c r="AF17" s="18"/>
      <c r="AG17" s="17"/>
      <c r="AH17" s="23"/>
      <c r="AI17" s="24"/>
    </row>
    <row r="18" spans="1:35" s="14" customFormat="1" hidden="1" x14ac:dyDescent="0.25">
      <c r="A18" s="47">
        <f>'Анализ рынка'!B20</f>
        <v>11</v>
      </c>
      <c r="B18" s="115">
        <f>'Анализ рынка'!AF20</f>
        <v>10</v>
      </c>
      <c r="C18" s="174">
        <f>'Тарифный метод'!L16</f>
        <v>0</v>
      </c>
      <c r="D18" s="47">
        <f>'Анализ рынка'!A20</f>
        <v>13</v>
      </c>
      <c r="E18" s="124" t="str">
        <f>'Анализ рынка'!G20</f>
        <v>Левоментола раствор в ментил изовалерате</v>
      </c>
      <c r="F18" s="47" t="str">
        <f>'Анализ рынка'!H20</f>
        <v>Таблетки подъязычные</v>
      </c>
      <c r="G18" s="117" t="str">
        <f>'Анализ рынка'!L20</f>
        <v>шт</v>
      </c>
      <c r="H18" s="117"/>
      <c r="I18" s="25"/>
      <c r="J18" s="25"/>
      <c r="K18" s="49"/>
      <c r="L18" s="120" t="s">
        <v>180</v>
      </c>
      <c r="M18" s="33"/>
      <c r="N18" s="33"/>
      <c r="O18" s="33"/>
      <c r="P18" s="33"/>
      <c r="Q18" s="43"/>
      <c r="R18" s="43"/>
      <c r="S18" s="43"/>
      <c r="T18" s="48"/>
      <c r="V18" s="21"/>
      <c r="W18" s="21"/>
      <c r="X18" s="21"/>
      <c r="Y18" s="17"/>
      <c r="Z18" s="17"/>
      <c r="AB18" s="17"/>
      <c r="AC18" s="17"/>
      <c r="AD18" s="18"/>
      <c r="AE18" s="18"/>
      <c r="AF18" s="18"/>
      <c r="AG18" s="17"/>
      <c r="AH18" s="23"/>
      <c r="AI18" s="24"/>
    </row>
    <row r="19" spans="1:35" s="14" customFormat="1" hidden="1" x14ac:dyDescent="0.25">
      <c r="A19" s="124">
        <f>'Анализ рынка'!B21</f>
        <v>12</v>
      </c>
      <c r="B19" s="115">
        <f>'Анализ рынка'!AF21</f>
        <v>3</v>
      </c>
      <c r="C19" s="174" t="str">
        <f>'Тарифный метод'!L17</f>
        <v>ЛП-№(001970)-(РГ-RU)</v>
      </c>
      <c r="D19" s="47">
        <f>'Анализ рынка'!A21</f>
        <v>14</v>
      </c>
      <c r="E19" s="172" t="str">
        <f>'Анализ рынка'!G21</f>
        <v>Каптоприл</v>
      </c>
      <c r="F19" s="47" t="str">
        <f>'Анализ рынка'!H21</f>
        <v>Таблетки</v>
      </c>
      <c r="G19" s="117" t="str">
        <f>'Анализ рынка'!L21</f>
        <v>шт</v>
      </c>
      <c r="H19" s="117"/>
      <c r="I19" s="25"/>
      <c r="J19" s="49"/>
      <c r="K19" s="49"/>
      <c r="L19" s="120" t="s">
        <v>180</v>
      </c>
      <c r="M19" s="33"/>
      <c r="N19" s="33"/>
      <c r="O19" s="33"/>
      <c r="P19" s="33"/>
      <c r="Q19" s="43"/>
      <c r="R19" s="43"/>
      <c r="S19" s="43"/>
      <c r="T19" s="48"/>
      <c r="V19" s="21"/>
      <c r="W19" s="21"/>
      <c r="X19" s="21"/>
      <c r="Y19" s="17"/>
      <c r="Z19" s="17"/>
      <c r="AB19" s="17"/>
      <c r="AC19" s="17"/>
      <c r="AD19" s="18"/>
      <c r="AE19" s="18"/>
      <c r="AF19" s="18"/>
      <c r="AG19" s="17"/>
      <c r="AH19" s="23"/>
      <c r="AI19" s="24"/>
    </row>
    <row r="20" spans="1:35" s="14" customFormat="1" hidden="1" x14ac:dyDescent="0.25">
      <c r="A20" s="124">
        <f>'Анализ рынка'!B22</f>
        <v>13</v>
      </c>
      <c r="B20" s="115">
        <f>'Анализ рынка'!AF22</f>
        <v>6</v>
      </c>
      <c r="C20" s="174" t="str">
        <f>'Тарифный метод'!L18</f>
        <v>ЛП-№(005382)-(РГ-RU)</v>
      </c>
      <c r="D20" s="47">
        <f>'Анализ рынка'!A22</f>
        <v>15</v>
      </c>
      <c r="E20" s="172" t="str">
        <f>'Анализ рынка'!G22</f>
        <v xml:space="preserve">Кеторолак </v>
      </c>
      <c r="F20" s="47" t="str">
        <f>'Анализ рынка'!H22</f>
        <v>Таблетки покрытые пленочной оболочкой</v>
      </c>
      <c r="G20" s="117" t="str">
        <f>'Анализ рынка'!L22</f>
        <v>шт</v>
      </c>
      <c r="H20" s="117"/>
      <c r="I20" s="25"/>
      <c r="J20" s="49"/>
      <c r="K20" s="49"/>
      <c r="L20" s="120" t="s">
        <v>180</v>
      </c>
      <c r="M20" s="33"/>
      <c r="N20" s="33"/>
      <c r="O20" s="33"/>
      <c r="P20" s="33"/>
      <c r="Q20" s="43"/>
      <c r="R20" s="43"/>
      <c r="S20" s="43"/>
      <c r="T20" s="48"/>
      <c r="V20" s="21"/>
      <c r="W20" s="21"/>
      <c r="X20" s="21"/>
      <c r="Y20" s="17"/>
      <c r="Z20" s="17"/>
      <c r="AB20" s="17"/>
      <c r="AC20" s="17"/>
      <c r="AD20" s="18"/>
      <c r="AE20" s="18"/>
      <c r="AF20" s="18"/>
      <c r="AG20" s="17"/>
      <c r="AH20" s="23"/>
      <c r="AI20" s="24"/>
    </row>
    <row r="21" spans="1:35" s="14" customFormat="1" hidden="1" x14ac:dyDescent="0.25">
      <c r="A21" s="124">
        <f>'Анализ рынка'!B23</f>
        <v>14</v>
      </c>
      <c r="B21" s="115">
        <f>'Анализ рынка'!AF23</f>
        <v>3</v>
      </c>
      <c r="C21" s="174" t="str">
        <f>'Тарифный метод'!L19</f>
        <v>П N012963/01</v>
      </c>
      <c r="D21" s="47">
        <f>'Анализ рынка'!A23</f>
        <v>16</v>
      </c>
      <c r="E21" s="172" t="str">
        <f>'Анализ рынка'!G23</f>
        <v>Бисопролол</v>
      </c>
      <c r="F21" s="47" t="str">
        <f>'Анализ рынка'!H23</f>
        <v>Таблетки покрытые пленочной оболочкой</v>
      </c>
      <c r="G21" s="117" t="str">
        <f>'Анализ рынка'!L23</f>
        <v>шт</v>
      </c>
      <c r="H21" s="117"/>
      <c r="I21" s="25"/>
      <c r="J21" s="49"/>
      <c r="K21" s="49"/>
      <c r="L21" s="120" t="s">
        <v>180</v>
      </c>
      <c r="M21" s="33"/>
      <c r="N21" s="33"/>
      <c r="O21" s="39"/>
      <c r="P21" s="33"/>
      <c r="Q21" s="43"/>
      <c r="R21" s="43"/>
      <c r="S21" s="43"/>
      <c r="T21" s="48"/>
      <c r="V21" s="21"/>
      <c r="W21" s="21"/>
      <c r="X21" s="21"/>
      <c r="Y21" s="17"/>
      <c r="Z21" s="17"/>
      <c r="AB21" s="17"/>
      <c r="AC21" s="17"/>
      <c r="AD21" s="18"/>
      <c r="AE21" s="18"/>
      <c r="AF21" s="18"/>
      <c r="AG21" s="17"/>
      <c r="AH21" s="23"/>
      <c r="AI21" s="24"/>
    </row>
    <row r="22" spans="1:35" s="14" customFormat="1" hidden="1" x14ac:dyDescent="0.25">
      <c r="A22" s="124">
        <f>'Анализ рынка'!B24</f>
        <v>15</v>
      </c>
      <c r="B22" s="115">
        <f>'Анализ рынка'!AF24</f>
        <v>10</v>
      </c>
      <c r="C22" s="174" t="str">
        <f>'Тарифный метод'!L20</f>
        <v>ЛП-№(009989)-(РГ-RU)</v>
      </c>
      <c r="D22" s="47">
        <f>'Анализ рынка'!A24</f>
        <v>17</v>
      </c>
      <c r="E22" s="172" t="str">
        <f>'Анализ рынка'!G24</f>
        <v>Моксонидин</v>
      </c>
      <c r="F22" s="47" t="str">
        <f>'Анализ рынка'!H24</f>
        <v>Таблетки покрытые пленочной оболочкой</v>
      </c>
      <c r="G22" s="117" t="str">
        <f>'Анализ рынка'!L24</f>
        <v>шт</v>
      </c>
      <c r="H22" s="117"/>
      <c r="I22" s="121">
        <v>40.04</v>
      </c>
      <c r="J22" s="122">
        <v>20</v>
      </c>
      <c r="K22" s="49">
        <v>1</v>
      </c>
      <c r="L22" s="120" t="s">
        <v>180</v>
      </c>
      <c r="M22" s="33"/>
      <c r="N22" s="33"/>
      <c r="O22" s="39"/>
      <c r="P22" s="33"/>
      <c r="Q22" s="43"/>
      <c r="R22" s="43"/>
      <c r="S22" s="43"/>
      <c r="T22" s="48"/>
      <c r="V22" s="21"/>
      <c r="W22" s="21"/>
      <c r="X22" s="21"/>
      <c r="Y22" s="17"/>
      <c r="Z22" s="17"/>
      <c r="AB22" s="17"/>
      <c r="AC22" s="17"/>
      <c r="AD22" s="18"/>
      <c r="AE22" s="18"/>
      <c r="AF22" s="18"/>
      <c r="AG22" s="17"/>
      <c r="AH22" s="23"/>
      <c r="AI22" s="24"/>
    </row>
    <row r="23" spans="1:35" s="14" customFormat="1" hidden="1" x14ac:dyDescent="0.25">
      <c r="A23" s="124">
        <f>'Анализ рынка'!B25</f>
        <v>16</v>
      </c>
      <c r="B23" s="115">
        <f>'Анализ рынка'!AF25</f>
        <v>8</v>
      </c>
      <c r="C23" s="174">
        <f>'Тарифный метод'!L21</f>
        <v>0</v>
      </c>
      <c r="D23" s="47">
        <f>'Анализ рынка'!A25</f>
        <v>18</v>
      </c>
      <c r="E23" s="124" t="str">
        <f>'Анализ рынка'!G25</f>
        <v>Никетамид</v>
      </c>
      <c r="F23" s="47" t="str">
        <f>'Анализ рынка'!H25</f>
        <v>Раствор для инъекций</v>
      </c>
      <c r="G23" s="117" t="str">
        <f>'Анализ рынка'!L25</f>
        <v>мл</v>
      </c>
      <c r="H23" s="117"/>
      <c r="I23" s="121">
        <v>43.35</v>
      </c>
      <c r="J23" s="122">
        <v>40</v>
      </c>
      <c r="K23" s="49">
        <v>1</v>
      </c>
      <c r="L23" s="120" t="s">
        <v>180</v>
      </c>
      <c r="M23" s="33"/>
      <c r="N23" s="33"/>
      <c r="O23" s="39"/>
      <c r="P23" s="33"/>
      <c r="Q23" s="43"/>
      <c r="R23" s="43"/>
      <c r="S23" s="43"/>
      <c r="T23" s="48"/>
      <c r="V23" s="21"/>
      <c r="W23" s="21"/>
      <c r="X23" s="21"/>
      <c r="Y23" s="17"/>
      <c r="Z23" s="17"/>
      <c r="AB23" s="17"/>
      <c r="AC23" s="17"/>
      <c r="AD23" s="18"/>
      <c r="AE23" s="18"/>
      <c r="AF23" s="18"/>
      <c r="AG23" s="17"/>
      <c r="AH23" s="23"/>
      <c r="AI23" s="24"/>
    </row>
    <row r="24" spans="1:35" s="14" customFormat="1" hidden="1" x14ac:dyDescent="0.25">
      <c r="A24" s="47">
        <f>'Анализ рынка'!B26</f>
        <v>0</v>
      </c>
      <c r="B24" s="115">
        <f>'Анализ рынка'!AF26</f>
        <v>0</v>
      </c>
      <c r="C24" s="174">
        <f>'Тарифный метод'!L22</f>
        <v>0</v>
      </c>
      <c r="D24" s="47">
        <f>'Анализ рынка'!A26</f>
        <v>19</v>
      </c>
      <c r="E24" s="172" t="str">
        <f>'Анализ рынка'!G26</f>
        <v>Кофеин</v>
      </c>
      <c r="F24" s="47" t="str">
        <f>'Анализ рынка'!H26</f>
        <v>Раствор для подкожного введения</v>
      </c>
      <c r="G24" s="117" t="str">
        <f>'Анализ рынка'!L26</f>
        <v>мл</v>
      </c>
      <c r="H24" s="117"/>
      <c r="I24" s="25"/>
      <c r="J24" s="25"/>
      <c r="K24" s="49"/>
      <c r="L24" s="120" t="s">
        <v>180</v>
      </c>
      <c r="M24" s="33"/>
      <c r="N24" s="33"/>
      <c r="O24" s="33"/>
      <c r="P24" s="33"/>
      <c r="Q24" s="43"/>
      <c r="R24" s="43"/>
      <c r="S24" s="43"/>
      <c r="T24" s="48"/>
      <c r="V24" s="21"/>
      <c r="W24" s="21"/>
      <c r="X24" s="21"/>
      <c r="Y24" s="17"/>
      <c r="Z24" s="17"/>
      <c r="AB24" s="17"/>
      <c r="AC24" s="17"/>
      <c r="AD24" s="18"/>
      <c r="AE24" s="18"/>
      <c r="AF24" s="18"/>
      <c r="AG24" s="17"/>
      <c r="AH24" s="23"/>
      <c r="AI24" s="24"/>
    </row>
    <row r="25" spans="1:35" s="14" customFormat="1" hidden="1" x14ac:dyDescent="0.25">
      <c r="A25" s="124">
        <f>'Анализ рынка'!B27</f>
        <v>17</v>
      </c>
      <c r="B25" s="115">
        <f>'Анализ рынка'!AF27</f>
        <v>10</v>
      </c>
      <c r="C25" s="174" t="str">
        <f>'Тарифный метод'!L23</f>
        <v>Р N002152/01</v>
      </c>
      <c r="D25" s="47">
        <f>'Анализ рынка'!A27</f>
        <v>20</v>
      </c>
      <c r="E25" s="172" t="str">
        <f>'Анализ рынка'!G27</f>
        <v xml:space="preserve">Нитроглицерин </v>
      </c>
      <c r="F25" s="47" t="str">
        <f>'Анализ рынка'!H27</f>
        <v>Таблетки подъязычные</v>
      </c>
      <c r="G25" s="117" t="str">
        <f>'Анализ рынка'!L27</f>
        <v>шт</v>
      </c>
      <c r="H25" s="117"/>
      <c r="I25" s="25"/>
      <c r="J25" s="49"/>
      <c r="K25" s="49"/>
      <c r="L25" s="120" t="s">
        <v>180</v>
      </c>
      <c r="M25" s="33"/>
      <c r="N25" s="33"/>
      <c r="O25" s="33"/>
      <c r="P25" s="33"/>
      <c r="Q25" s="43"/>
      <c r="R25" s="43"/>
      <c r="S25" s="43"/>
      <c r="T25" s="48"/>
      <c r="V25" s="21"/>
      <c r="W25" s="21"/>
      <c r="X25" s="21"/>
      <c r="Y25" s="17"/>
      <c r="Z25" s="17"/>
      <c r="AB25" s="17"/>
      <c r="AC25" s="17"/>
      <c r="AD25" s="18"/>
      <c r="AE25" s="18"/>
      <c r="AF25" s="18"/>
      <c r="AG25" s="17"/>
      <c r="AH25" s="23"/>
      <c r="AI25" s="24"/>
    </row>
    <row r="26" spans="1:35" s="14" customFormat="1" hidden="1" x14ac:dyDescent="0.25">
      <c r="A26" s="124">
        <f>'Анализ рынка'!B28</f>
        <v>0</v>
      </c>
      <c r="B26" s="115">
        <f>'Анализ рынка'!AF28</f>
        <v>0</v>
      </c>
      <c r="C26" s="174">
        <f>'Тарифный метод'!L24</f>
        <v>0</v>
      </c>
      <c r="D26" s="47">
        <f>'Анализ рынка'!A28</f>
        <v>21</v>
      </c>
      <c r="E26" s="124" t="str">
        <f>'Анализ рынка'!G28</f>
        <v>Бензилдиметил-миристоиламино-пропиламмоний</v>
      </c>
      <c r="F26" s="47" t="str">
        <f>'Анализ рынка'!H28</f>
        <v>Капли глазные ушные и назальные.</v>
      </c>
      <c r="G26" s="117" t="str">
        <f>'Анализ рынка'!L28</f>
        <v>мл</v>
      </c>
      <c r="H26" s="117"/>
      <c r="I26" s="25"/>
      <c r="J26" s="49"/>
      <c r="K26" s="49"/>
      <c r="L26" s="120" t="s">
        <v>180</v>
      </c>
      <c r="M26" s="33"/>
      <c r="N26" s="33"/>
      <c r="O26" s="33"/>
      <c r="P26" s="33"/>
      <c r="Q26" s="43"/>
      <c r="R26" s="43"/>
      <c r="S26" s="43"/>
      <c r="T26" s="48"/>
      <c r="V26" s="21"/>
      <c r="W26" s="21"/>
      <c r="X26" s="21"/>
      <c r="Y26" s="17"/>
      <c r="Z26" s="17"/>
      <c r="AB26" s="17"/>
      <c r="AC26" s="17"/>
      <c r="AD26" s="18"/>
      <c r="AE26" s="18"/>
      <c r="AF26" s="18"/>
      <c r="AG26" s="17"/>
      <c r="AH26" s="23"/>
      <c r="AI26" s="24"/>
    </row>
    <row r="27" spans="1:35" s="14" customFormat="1" hidden="1" x14ac:dyDescent="0.25">
      <c r="A27" s="47">
        <f>'Анализ рынка'!B29</f>
        <v>18</v>
      </c>
      <c r="B27" s="115">
        <f>'Анализ рынка'!AF29</f>
        <v>30</v>
      </c>
      <c r="C27" s="174">
        <f>'Тарифный метод'!L25</f>
        <v>0</v>
      </c>
      <c r="D27" s="47">
        <f>'Анализ рынка'!A29</f>
        <v>22</v>
      </c>
      <c r="E27" s="124" t="str">
        <f>'Анализ рынка'!G29</f>
        <v>Аммиак</v>
      </c>
      <c r="F27" s="47" t="str">
        <f>'Анализ рынка'!H29</f>
        <v>Раствор для наружного применения и ингаляций</v>
      </c>
      <c r="G27" s="117" t="str">
        <f>'Анализ рынка'!L29</f>
        <v>мл</v>
      </c>
      <c r="H27" s="117"/>
      <c r="I27" s="25"/>
      <c r="J27" s="25"/>
      <c r="K27" s="49"/>
      <c r="L27" s="120" t="s">
        <v>180</v>
      </c>
      <c r="M27" s="33"/>
      <c r="N27" s="33"/>
      <c r="O27" s="33"/>
      <c r="P27" s="33"/>
      <c r="Q27" s="43"/>
      <c r="R27" s="43"/>
      <c r="S27" s="43"/>
      <c r="T27" s="48"/>
      <c r="V27" s="21"/>
      <c r="W27" s="21"/>
      <c r="X27" s="21"/>
      <c r="Y27" s="17"/>
      <c r="Z27" s="17"/>
      <c r="AB27" s="17"/>
      <c r="AC27" s="17"/>
      <c r="AD27" s="18"/>
      <c r="AE27" s="18"/>
      <c r="AF27" s="18"/>
      <c r="AG27" s="17"/>
      <c r="AH27" s="23"/>
      <c r="AI27" s="24"/>
    </row>
    <row r="28" spans="1:35" s="14" customFormat="1" hidden="1" x14ac:dyDescent="0.25">
      <c r="A28" s="124">
        <f>'Анализ рынка'!B30</f>
        <v>19</v>
      </c>
      <c r="B28" s="115">
        <f>'Анализ рынка'!AF30</f>
        <v>10</v>
      </c>
      <c r="C28" s="174">
        <f>'Тарифный метод'!L26</f>
        <v>0</v>
      </c>
      <c r="D28" s="47">
        <f>'Анализ рынка'!A30</f>
        <v>23</v>
      </c>
      <c r="E28" s="124" t="str">
        <f>'Анализ рынка'!G30</f>
        <v>Вазелин</v>
      </c>
      <c r="F28" s="47" t="str">
        <f>'Анализ рынка'!H30</f>
        <v>Мазь для наружного применения</v>
      </c>
      <c r="G28" s="117" t="str">
        <f>'Анализ рынка'!L30</f>
        <v>г</v>
      </c>
      <c r="H28" s="117"/>
      <c r="I28" s="121">
        <v>9.49</v>
      </c>
      <c r="J28" s="122">
        <v>1</v>
      </c>
      <c r="K28" s="49">
        <v>100</v>
      </c>
      <c r="L28" s="120" t="s">
        <v>180</v>
      </c>
      <c r="M28" s="33"/>
      <c r="N28" s="33"/>
      <c r="O28" s="39"/>
      <c r="P28" s="33"/>
      <c r="Q28" s="43"/>
      <c r="R28" s="43"/>
      <c r="S28" s="43"/>
      <c r="T28" s="48"/>
      <c r="V28" s="21"/>
      <c r="W28" s="21"/>
      <c r="X28" s="21"/>
      <c r="Y28" s="17"/>
      <c r="Z28" s="17"/>
      <c r="AB28" s="17"/>
      <c r="AC28" s="17"/>
      <c r="AD28" s="18"/>
      <c r="AE28" s="18"/>
      <c r="AF28" s="18"/>
      <c r="AG28" s="17"/>
      <c r="AH28" s="23"/>
      <c r="AI28" s="24"/>
    </row>
    <row r="29" spans="1:35" s="14" customFormat="1" hidden="1" x14ac:dyDescent="0.25">
      <c r="A29" s="124">
        <f>'Анализ рынка'!B31</f>
        <v>20</v>
      </c>
      <c r="B29" s="115">
        <f>'Анализ рынка'!AF31</f>
        <v>336</v>
      </c>
      <c r="C29" s="174" t="str">
        <f>'Тарифный метод'!L27</f>
        <v>ЛП-№(004894)-(РГ-RU)</v>
      </c>
      <c r="D29" s="47">
        <f>'Анализ рынка'!A31</f>
        <v>24</v>
      </c>
      <c r="E29" s="172" t="str">
        <f>'Анализ рынка'!G31</f>
        <v>Натрия хлорид</v>
      </c>
      <c r="F29" s="47" t="str">
        <f>'Анализ рынка'!H31</f>
        <v>Раствор для инфузий</v>
      </c>
      <c r="G29" s="117" t="str">
        <f>'Анализ рынка'!L31</f>
        <v>мл</v>
      </c>
      <c r="H29" s="117"/>
      <c r="I29" s="121">
        <v>10.46</v>
      </c>
      <c r="J29" s="122">
        <v>1</v>
      </c>
      <c r="K29" s="49">
        <v>100</v>
      </c>
      <c r="L29" s="120" t="s">
        <v>180</v>
      </c>
      <c r="M29" s="33"/>
      <c r="N29" s="33"/>
      <c r="O29" s="39"/>
      <c r="P29" s="33"/>
      <c r="Q29" s="43"/>
      <c r="R29" s="43"/>
      <c r="S29" s="43"/>
      <c r="T29" s="48"/>
      <c r="V29" s="21"/>
      <c r="W29" s="21"/>
      <c r="X29" s="21"/>
      <c r="Y29" s="17"/>
      <c r="Z29" s="17"/>
      <c r="AB29" s="17"/>
      <c r="AC29" s="17"/>
      <c r="AD29" s="18"/>
      <c r="AE29" s="18"/>
      <c r="AF29" s="18"/>
      <c r="AG29" s="17"/>
      <c r="AH29" s="23"/>
      <c r="AI29" s="24"/>
    </row>
    <row r="30" spans="1:35" s="14" customFormat="1" hidden="1" x14ac:dyDescent="0.25">
      <c r="A30" s="47">
        <f>'Анализ рынка'!B32</f>
        <v>21</v>
      </c>
      <c r="B30" s="115">
        <f>'Анализ рынка'!AF32</f>
        <v>8</v>
      </c>
      <c r="C30" s="174" t="str">
        <f>'Тарифный метод'!L28</f>
        <v>ЛП-№(001331)-(РГ-RU)</v>
      </c>
      <c r="D30" s="47">
        <f>'Анализ рынка'!A32</f>
        <v>25</v>
      </c>
      <c r="E30" s="172" t="str">
        <f>'Анализ рынка'!G32</f>
        <v>Натрия хлорид</v>
      </c>
      <c r="F30" s="47" t="str">
        <f>'Анализ рынка'!H32</f>
        <v>Раствор для инъекций</v>
      </c>
      <c r="G30" s="117" t="str">
        <f>'Анализ рынка'!L32</f>
        <v>мл</v>
      </c>
      <c r="H30" s="117"/>
      <c r="I30" s="25"/>
      <c r="J30" s="25"/>
      <c r="K30" s="49"/>
      <c r="L30" s="120" t="s">
        <v>180</v>
      </c>
      <c r="M30" s="33"/>
      <c r="N30" s="33"/>
      <c r="O30" s="39"/>
      <c r="P30" s="33"/>
      <c r="Q30" s="43"/>
      <c r="R30" s="43"/>
      <c r="S30" s="43"/>
      <c r="T30" s="48"/>
      <c r="V30" s="21"/>
      <c r="W30" s="21"/>
      <c r="X30" s="21"/>
      <c r="Y30" s="17"/>
      <c r="Z30" s="17"/>
      <c r="AB30" s="17"/>
      <c r="AC30" s="17"/>
      <c r="AD30" s="18"/>
      <c r="AE30" s="18"/>
      <c r="AF30" s="18"/>
      <c r="AG30" s="17"/>
      <c r="AH30" s="23"/>
      <c r="AI30" s="24"/>
    </row>
    <row r="31" spans="1:35" s="14" customFormat="1" hidden="1" x14ac:dyDescent="0.25">
      <c r="A31" s="124">
        <f>'Анализ рынка'!B33</f>
        <v>22</v>
      </c>
      <c r="B31" s="115">
        <f>'Анализ рынка'!AF33</f>
        <v>30</v>
      </c>
      <c r="C31" s="174">
        <f>'Тарифный метод'!L29</f>
        <v>0</v>
      </c>
      <c r="D31" s="47">
        <f>'Анализ рынка'!A33</f>
        <v>26</v>
      </c>
      <c r="E31" s="124" t="str">
        <f>'Анализ рынка'!G33</f>
        <v>Метронидазол + Хлоргексидин</v>
      </c>
      <c r="F31" s="47" t="str">
        <f>'Анализ рынка'!H33</f>
        <v>Гель стоматологический</v>
      </c>
      <c r="G31" s="117" t="str">
        <f>'Анализ рынка'!L33</f>
        <v>г</v>
      </c>
      <c r="H31" s="117"/>
      <c r="I31" s="121"/>
      <c r="J31" s="122"/>
      <c r="K31" s="49"/>
      <c r="L31" s="120" t="s">
        <v>180</v>
      </c>
      <c r="M31" s="33"/>
      <c r="N31" s="33"/>
      <c r="O31" s="33"/>
      <c r="P31" s="33"/>
      <c r="Q31" s="43"/>
      <c r="R31" s="43"/>
      <c r="S31" s="43"/>
      <c r="T31" s="48"/>
      <c r="V31" s="21"/>
      <c r="W31" s="21"/>
      <c r="X31" s="21"/>
      <c r="Y31" s="17"/>
      <c r="Z31" s="17"/>
      <c r="AB31" s="17"/>
      <c r="AC31" s="17"/>
      <c r="AD31" s="18"/>
      <c r="AE31" s="18"/>
      <c r="AF31" s="18"/>
      <c r="AG31" s="17"/>
      <c r="AH31" s="23"/>
      <c r="AI31" s="24"/>
    </row>
    <row r="32" spans="1:35" s="14" customFormat="1" hidden="1" x14ac:dyDescent="0.25">
      <c r="A32" s="124">
        <f>'Анализ рынка'!B34</f>
        <v>23</v>
      </c>
      <c r="B32" s="115">
        <f>'Анализ рынка'!AF34</f>
        <v>150</v>
      </c>
      <c r="C32" s="174" t="str">
        <f>'Тарифный метод'!L30</f>
        <v>Р N003139/01</v>
      </c>
      <c r="D32" s="47">
        <f>'Анализ рынка'!A34</f>
        <v>27</v>
      </c>
      <c r="E32" s="172" t="str">
        <f>'Анализ рынка'!G34</f>
        <v>Водорода пероксид</v>
      </c>
      <c r="F32" s="47" t="str">
        <f>'Анализ рынка'!H34</f>
        <v>Раствор для местного и наружного применения.</v>
      </c>
      <c r="G32" s="117" t="str">
        <f>'Анализ рынка'!L34</f>
        <v>мл</v>
      </c>
      <c r="H32" s="117"/>
      <c r="I32" s="121"/>
      <c r="J32" s="122"/>
      <c r="K32" s="49"/>
      <c r="L32" s="120" t="s">
        <v>180</v>
      </c>
      <c r="M32" s="33"/>
      <c r="N32" s="33"/>
      <c r="O32" s="33"/>
      <c r="P32" s="33"/>
      <c r="Q32" s="43"/>
      <c r="R32" s="43"/>
      <c r="S32" s="43"/>
      <c r="T32" s="48"/>
      <c r="V32" s="21"/>
      <c r="W32" s="21"/>
      <c r="X32" s="21"/>
      <c r="Y32" s="17"/>
      <c r="Z32" s="17"/>
      <c r="AB32" s="17"/>
      <c r="AC32" s="17"/>
      <c r="AD32" s="18"/>
      <c r="AE32" s="18"/>
      <c r="AF32" s="18"/>
      <c r="AG32" s="17"/>
      <c r="AH32" s="23"/>
      <c r="AI32" s="24"/>
    </row>
    <row r="33" spans="1:35" s="14" customFormat="1" hidden="1" x14ac:dyDescent="0.25">
      <c r="A33" s="124">
        <f>'Анализ рынка'!B35</f>
        <v>24</v>
      </c>
      <c r="B33" s="115">
        <f>'Анализ рынка'!AF35</f>
        <v>400</v>
      </c>
      <c r="C33" s="174" t="str">
        <f>'Тарифный метод'!L31</f>
        <v>ЛП-001555</v>
      </c>
      <c r="D33" s="47">
        <f>'Анализ рынка'!A35</f>
        <v>28</v>
      </c>
      <c r="E33" s="172" t="str">
        <f>'Анализ рынка'!G35</f>
        <v>Хлоргексидин</v>
      </c>
      <c r="F33" s="47" t="str">
        <f>'Анализ рынка'!H35</f>
        <v>Раствор для наружного применения.</v>
      </c>
      <c r="G33" s="117" t="str">
        <f>'Анализ рынка'!L35</f>
        <v>мл</v>
      </c>
      <c r="H33" s="117"/>
      <c r="I33" s="25"/>
      <c r="J33" s="49"/>
      <c r="K33" s="49"/>
      <c r="L33" s="120" t="s">
        <v>180</v>
      </c>
      <c r="M33" s="33"/>
      <c r="N33" s="33"/>
      <c r="O33" s="33"/>
      <c r="P33" s="33"/>
      <c r="Q33" s="43"/>
      <c r="R33" s="43"/>
      <c r="S33" s="43"/>
      <c r="T33" s="48"/>
      <c r="V33" s="21"/>
      <c r="W33" s="21"/>
      <c r="X33" s="21"/>
      <c r="Y33" s="17"/>
      <c r="Z33" s="17"/>
      <c r="AB33" s="17"/>
      <c r="AC33" s="17"/>
      <c r="AD33" s="18"/>
      <c r="AE33" s="18"/>
      <c r="AF33" s="18"/>
      <c r="AG33" s="17"/>
      <c r="AH33" s="23"/>
      <c r="AI33" s="24"/>
    </row>
    <row r="34" spans="1:35" s="14" customFormat="1" hidden="1" x14ac:dyDescent="0.25">
      <c r="A34" s="47">
        <f>'Анализ рынка'!B36</f>
        <v>25</v>
      </c>
      <c r="B34" s="115">
        <f>'Анализ рынка'!AF36</f>
        <v>10</v>
      </c>
      <c r="C34" s="174">
        <f>'Тарифный метод'!L32</f>
        <v>0</v>
      </c>
      <c r="D34" s="47">
        <f>'Анализ рынка'!A36</f>
        <v>29</v>
      </c>
      <c r="E34" s="124" t="str">
        <f>'Анализ рынка'!G36</f>
        <v>Сульфацетамид</v>
      </c>
      <c r="F34" s="47" t="str">
        <f>'Анализ рынка'!H36</f>
        <v>Капли глазные</v>
      </c>
      <c r="G34" s="117" t="str">
        <f>'Анализ рынка'!L36</f>
        <v>мл</v>
      </c>
      <c r="H34" s="117"/>
      <c r="I34" s="25"/>
      <c r="J34" s="25"/>
      <c r="K34" s="49"/>
      <c r="L34" s="120" t="s">
        <v>180</v>
      </c>
      <c r="M34" s="33"/>
      <c r="N34" s="33"/>
      <c r="O34" s="39"/>
      <c r="P34" s="33"/>
      <c r="Q34" s="43"/>
      <c r="R34" s="43"/>
      <c r="S34" s="43"/>
      <c r="T34" s="48"/>
      <c r="V34" s="21"/>
      <c r="W34" s="21"/>
      <c r="X34" s="21"/>
      <c r="Y34" s="17"/>
      <c r="Z34" s="17"/>
      <c r="AB34" s="17"/>
      <c r="AC34" s="17"/>
      <c r="AD34" s="18"/>
      <c r="AE34" s="18"/>
      <c r="AF34" s="18"/>
      <c r="AG34" s="17"/>
      <c r="AH34" s="23"/>
      <c r="AI34" s="24"/>
    </row>
    <row r="35" spans="1:35" s="14" customFormat="1" hidden="1" x14ac:dyDescent="0.25">
      <c r="A35" s="47">
        <f>'Анализ рынка'!B37</f>
        <v>0</v>
      </c>
      <c r="B35" s="115">
        <f>'Анализ рынка'!AF37</f>
        <v>0</v>
      </c>
      <c r="C35" s="174">
        <f>'Тарифный метод'!L33</f>
        <v>0</v>
      </c>
      <c r="D35" s="47">
        <f>'Анализ рынка'!A37</f>
        <v>30</v>
      </c>
      <c r="E35" s="124" t="str">
        <f>'Анализ рынка'!G37</f>
        <v>Гидроксиметилхиноксалиндиоксид</v>
      </c>
      <c r="F35" s="47" t="str">
        <f>'Анализ рынка'!H37</f>
        <v>Раствор для местного применения</v>
      </c>
      <c r="G35" s="117" t="str">
        <f>'Анализ рынка'!L37</f>
        <v>мл</v>
      </c>
      <c r="H35" s="117"/>
      <c r="I35" s="25"/>
      <c r="J35" s="25"/>
      <c r="K35" s="49"/>
      <c r="L35" s="120" t="s">
        <v>180</v>
      </c>
      <c r="M35" s="33"/>
      <c r="N35" s="33"/>
      <c r="O35" s="39"/>
      <c r="P35" s="33"/>
      <c r="Q35" s="43"/>
      <c r="R35" s="43"/>
      <c r="S35" s="43"/>
      <c r="T35" s="48"/>
      <c r="V35" s="21"/>
      <c r="W35" s="21"/>
      <c r="X35" s="21"/>
      <c r="Y35" s="17"/>
      <c r="Z35" s="17"/>
      <c r="AB35" s="17"/>
      <c r="AC35" s="17"/>
      <c r="AD35" s="18"/>
      <c r="AE35" s="18"/>
      <c r="AF35" s="18"/>
      <c r="AG35" s="17"/>
      <c r="AH35" s="23"/>
      <c r="AI35" s="24"/>
    </row>
    <row r="36" spans="1:35" s="14" customFormat="1" ht="38.25" hidden="1" x14ac:dyDescent="0.25">
      <c r="A36" s="124">
        <f>'Анализ рынка'!B38</f>
        <v>26</v>
      </c>
      <c r="B36" s="115">
        <f>'Анализ рынка'!AF38</f>
        <v>5</v>
      </c>
      <c r="C36" s="174">
        <f>'Тарифный метод'!L34</f>
        <v>0</v>
      </c>
      <c r="D36" s="47">
        <f>'Анализ рынка'!A38</f>
        <v>31</v>
      </c>
      <c r="E36" s="124" t="str">
        <f>'Анализ рынка'!G38</f>
        <v>ДИБУТИЛФТАЛАТ+КАНИФОЛЬ+КАСТОРОВОЕ МАСЛО+ПОЛИВИНИЛБУТИРАЛ+ ФЕНОЛФОРМАЛЬДЕГИДНАЯ СМОЛА+ЭТАНОЛ</v>
      </c>
      <c r="F36" s="47" t="str">
        <f>'Анализ рынка'!H38</f>
        <v>Раствор для наружного применения спиртовой</v>
      </c>
      <c r="G36" s="117" t="str">
        <f>'Анализ рынка'!L38</f>
        <v>г</v>
      </c>
      <c r="H36" s="117"/>
      <c r="I36" s="121"/>
      <c r="J36" s="122"/>
      <c r="K36" s="49"/>
      <c r="L36" s="120" t="s">
        <v>180</v>
      </c>
      <c r="M36" s="33"/>
      <c r="N36" s="33"/>
      <c r="O36" s="39"/>
      <c r="P36" s="33"/>
      <c r="Q36" s="43"/>
      <c r="R36" s="43"/>
      <c r="S36" s="43"/>
      <c r="T36" s="48"/>
      <c r="V36" s="21"/>
      <c r="W36" s="21"/>
      <c r="X36" s="21"/>
      <c r="Y36" s="17"/>
      <c r="Z36" s="17"/>
      <c r="AB36" s="17"/>
      <c r="AC36" s="17"/>
      <c r="AD36" s="18"/>
      <c r="AE36" s="18"/>
      <c r="AF36" s="18"/>
      <c r="AG36" s="17"/>
      <c r="AH36" s="23"/>
      <c r="AI36" s="24"/>
    </row>
  </sheetData>
  <sheetProtection formatCells="0" formatColumns="0" formatRows="0" insertColumns="0" insertRows="0" insertHyperlinks="0" deleteColumns="0" deleteRows="0" selectLockedCells="1" sort="0" autoFilter="0" pivotTables="0"/>
  <autoFilter ref="A5:P36" xr:uid="{00000000-0009-0000-0000-000005000000}">
    <filterColumn colId="9" showButton="0"/>
  </autoFilter>
  <mergeCells count="4">
    <mergeCell ref="J5:K5"/>
    <mergeCell ref="E1:O1"/>
    <mergeCell ref="E3:O3"/>
    <mergeCell ref="E2:O2"/>
  </mergeCells>
  <phoneticPr fontId="29" type="noConversion"/>
  <pageMargins left="0.11811023622047245" right="0.19685039370078741" top="0.35433070866141736" bottom="0.35433070866141736" header="0.31496062992125984" footer="0.31496062992125984"/>
  <pageSetup paperSize="9" fitToWidth="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C7"/>
  <sheetViews>
    <sheetView zoomScale="80" zoomScaleNormal="80" workbookViewId="0">
      <selection activeCell="C23" sqref="C23"/>
    </sheetView>
  </sheetViews>
  <sheetFormatPr defaultColWidth="9.140625" defaultRowHeight="15" x14ac:dyDescent="0.25"/>
  <cols>
    <col min="1" max="1" width="21" style="1" customWidth="1"/>
    <col min="2" max="2" width="3.42578125" style="1" customWidth="1"/>
    <col min="3" max="3" width="21.42578125" style="2" customWidth="1"/>
    <col min="4" max="4" width="13.42578125" style="2" customWidth="1"/>
    <col min="5" max="5" width="8.140625" style="2" customWidth="1"/>
    <col min="6" max="6" width="14.42578125" style="1" customWidth="1"/>
    <col min="7" max="7" width="14.28515625" style="1" customWidth="1"/>
    <col min="8" max="8" width="11" style="1" customWidth="1"/>
    <col min="9" max="9" width="6.140625" style="1" customWidth="1"/>
    <col min="10" max="10" width="9" style="1" customWidth="1"/>
    <col min="11" max="11" width="11.85546875" style="42" customWidth="1"/>
    <col min="12" max="12" width="15.140625" style="1" customWidth="1"/>
    <col min="13" max="13" width="7.5703125" style="1" customWidth="1"/>
    <col min="14" max="14" width="11.42578125" style="1" customWidth="1"/>
    <col min="15" max="15" width="6.42578125" style="1" customWidth="1"/>
    <col min="16" max="16" width="8.140625" style="1" customWidth="1"/>
    <col min="17" max="17" width="8.140625" style="42" customWidth="1"/>
    <col min="18" max="18" width="11.85546875" style="1" customWidth="1"/>
    <col min="19" max="19" width="5.5703125" style="1" customWidth="1"/>
    <col min="20" max="20" width="10.85546875" style="1" customWidth="1"/>
    <col min="21" max="21" width="7.140625" style="1" customWidth="1"/>
    <col min="22" max="22" width="8.140625" style="1" customWidth="1"/>
    <col min="23" max="23" width="8.7109375" style="42" customWidth="1"/>
    <col min="24" max="24" width="12.5703125" style="5" hidden="1" customWidth="1"/>
    <col min="25" max="25" width="5.5703125" style="5" hidden="1" customWidth="1"/>
    <col min="26" max="26" width="11.140625" style="5" hidden="1" customWidth="1"/>
    <col min="27" max="27" width="7.42578125" style="3" hidden="1" customWidth="1"/>
    <col min="28" max="28" width="8.7109375" style="6" hidden="1" customWidth="1"/>
    <col min="29" max="29" width="9" style="11" hidden="1" customWidth="1"/>
    <col min="30" max="30" width="9.140625" style="1"/>
    <col min="31" max="31" width="9.42578125" style="1" customWidth="1"/>
    <col min="32" max="32" width="8.28515625" style="1" customWidth="1"/>
    <col min="33" max="33" width="6.7109375" style="1" customWidth="1"/>
    <col min="34" max="34" width="13.85546875" style="1" customWidth="1"/>
    <col min="35" max="35" width="13.85546875" style="1" bestFit="1" customWidth="1"/>
    <col min="36" max="36" width="16.7109375" style="1" customWidth="1"/>
    <col min="37" max="37" width="14.85546875" style="1" customWidth="1"/>
    <col min="38" max="16384" width="9.140625" style="1"/>
  </cols>
  <sheetData>
    <row r="1" spans="1:29" x14ac:dyDescent="0.2">
      <c r="B1" s="16"/>
      <c r="C1" s="16"/>
      <c r="D1" s="16"/>
      <c r="E1" s="16"/>
      <c r="F1" s="17"/>
      <c r="G1" s="17"/>
      <c r="H1" s="17"/>
      <c r="I1" s="17"/>
      <c r="J1" s="17"/>
      <c r="K1" s="17"/>
      <c r="L1" s="17"/>
      <c r="M1" s="17"/>
      <c r="N1" s="17"/>
      <c r="O1" s="17"/>
      <c r="P1" s="17"/>
      <c r="Q1" s="17"/>
      <c r="R1" s="17"/>
      <c r="S1" s="17"/>
      <c r="T1" s="17"/>
      <c r="U1" s="17"/>
      <c r="V1" s="17"/>
      <c r="W1" s="17"/>
      <c r="X1" s="18"/>
      <c r="Y1" s="18"/>
      <c r="Z1" s="18"/>
      <c r="AA1" s="17"/>
      <c r="AB1" s="19"/>
      <c r="AC1" s="12"/>
    </row>
    <row r="2" spans="1:29" ht="39.75" customHeight="1" x14ac:dyDescent="0.2">
      <c r="A2" s="365" t="s">
        <v>32</v>
      </c>
      <c r="B2" s="365"/>
      <c r="C2" s="365"/>
      <c r="D2" s="365"/>
      <c r="E2" s="365"/>
      <c r="F2" s="365"/>
      <c r="G2" s="365"/>
      <c r="H2" s="365"/>
      <c r="I2" s="365"/>
      <c r="J2" s="365"/>
      <c r="K2" s="365"/>
      <c r="L2" s="20"/>
      <c r="M2" s="20"/>
      <c r="N2" s="20"/>
      <c r="O2" s="20"/>
      <c r="P2" s="20"/>
      <c r="Q2" s="20"/>
      <c r="R2" s="20"/>
      <c r="S2" s="20"/>
      <c r="T2" s="20"/>
      <c r="U2" s="20"/>
      <c r="V2" s="20"/>
      <c r="W2" s="20"/>
      <c r="X2" s="20"/>
      <c r="Y2" s="20"/>
      <c r="Z2" s="20"/>
      <c r="AA2" s="20"/>
      <c r="AB2" s="20"/>
      <c r="AC2" s="20"/>
    </row>
    <row r="3" spans="1:29" x14ac:dyDescent="0.2">
      <c r="B3" s="36"/>
      <c r="C3" s="36"/>
      <c r="D3" s="36"/>
      <c r="E3" s="36"/>
      <c r="F3" s="36"/>
      <c r="G3" s="36"/>
      <c r="H3" s="36"/>
      <c r="I3" s="36"/>
      <c r="J3" s="36"/>
      <c r="K3" s="41"/>
      <c r="L3" s="36"/>
      <c r="M3" s="17"/>
      <c r="N3" s="17"/>
      <c r="O3" s="17"/>
      <c r="P3" s="17"/>
      <c r="Q3" s="17"/>
      <c r="R3" s="17"/>
      <c r="S3" s="17"/>
      <c r="T3" s="17"/>
      <c r="U3" s="17"/>
      <c r="V3" s="17"/>
      <c r="W3" s="17"/>
      <c r="X3" s="18"/>
      <c r="Y3" s="18"/>
      <c r="Z3" s="18"/>
      <c r="AA3" s="17"/>
      <c r="AB3" s="19"/>
      <c r="AC3" s="12"/>
    </row>
    <row r="4" spans="1:29" ht="38.25" x14ac:dyDescent="0.2">
      <c r="B4" s="22" t="s">
        <v>27</v>
      </c>
      <c r="C4" s="22" t="s">
        <v>4</v>
      </c>
      <c r="D4" s="22" t="s">
        <v>5</v>
      </c>
      <c r="E4" s="22" t="s">
        <v>33</v>
      </c>
      <c r="F4" s="22" t="s">
        <v>34</v>
      </c>
      <c r="G4" s="22" t="s">
        <v>35</v>
      </c>
      <c r="H4" s="29"/>
      <c r="I4" s="36"/>
      <c r="J4" s="36"/>
      <c r="K4" s="41"/>
      <c r="L4" s="36"/>
      <c r="M4" s="17"/>
      <c r="N4" s="17"/>
      <c r="O4" s="17"/>
      <c r="P4" s="17"/>
      <c r="Q4" s="17"/>
      <c r="R4" s="17"/>
      <c r="S4" s="17"/>
      <c r="T4" s="17"/>
      <c r="U4" s="17"/>
      <c r="V4" s="17"/>
      <c r="W4" s="17"/>
      <c r="X4" s="18"/>
      <c r="Y4" s="18"/>
      <c r="Z4" s="18"/>
      <c r="AA4" s="17"/>
      <c r="AB4" s="19"/>
      <c r="AC4" s="12"/>
    </row>
    <row r="5" spans="1:29" x14ac:dyDescent="0.2">
      <c r="B5" s="37">
        <v>1</v>
      </c>
      <c r="C5" s="38"/>
      <c r="D5" s="37"/>
      <c r="E5" s="37"/>
      <c r="F5" s="37"/>
      <c r="G5" s="37"/>
      <c r="H5" s="30"/>
      <c r="I5" s="36"/>
      <c r="J5" s="36"/>
      <c r="K5" s="41"/>
      <c r="L5" s="36"/>
      <c r="M5" s="17"/>
      <c r="N5" s="17"/>
      <c r="O5" s="17"/>
      <c r="P5" s="17"/>
      <c r="Q5" s="17"/>
      <c r="R5" s="17"/>
      <c r="S5" s="17"/>
      <c r="T5" s="17"/>
      <c r="U5" s="17"/>
      <c r="V5" s="17"/>
      <c r="W5" s="17"/>
      <c r="X5" s="18"/>
      <c r="Y5" s="18"/>
      <c r="Z5" s="18"/>
      <c r="AA5" s="17"/>
      <c r="AB5" s="19"/>
      <c r="AC5" s="12"/>
    </row>
    <row r="6" spans="1:29" x14ac:dyDescent="0.2">
      <c r="B6" s="368" t="s">
        <v>36</v>
      </c>
      <c r="C6" s="369"/>
      <c r="D6" s="369"/>
      <c r="E6" s="369"/>
      <c r="F6" s="370"/>
      <c r="G6" s="26"/>
      <c r="H6" s="31"/>
      <c r="I6" s="27"/>
      <c r="J6" s="27"/>
      <c r="K6" s="40"/>
      <c r="L6" s="27"/>
      <c r="M6" s="17"/>
      <c r="N6" s="17"/>
      <c r="O6" s="17"/>
      <c r="P6" s="17"/>
      <c r="Q6" s="17"/>
      <c r="R6" s="17"/>
      <c r="S6" s="17"/>
      <c r="T6" s="17"/>
      <c r="U6" s="17"/>
      <c r="V6" s="17"/>
      <c r="W6" s="17"/>
      <c r="X6" s="18"/>
      <c r="Y6" s="18"/>
      <c r="Z6" s="18"/>
      <c r="AA6" s="17"/>
      <c r="AB6" s="19"/>
      <c r="AC6" s="12"/>
    </row>
    <row r="7" spans="1:29" x14ac:dyDescent="0.2">
      <c r="B7" s="27"/>
      <c r="C7" s="27"/>
      <c r="D7" s="27"/>
      <c r="E7" s="27"/>
      <c r="F7" s="27"/>
      <c r="G7" s="27"/>
      <c r="H7" s="27"/>
      <c r="I7" s="27"/>
      <c r="J7" s="27"/>
      <c r="K7" s="40"/>
      <c r="L7" s="27"/>
      <c r="M7" s="17"/>
      <c r="N7" s="17"/>
      <c r="O7" s="17"/>
      <c r="P7" s="17"/>
      <c r="Q7" s="17"/>
      <c r="R7" s="17"/>
      <c r="S7" s="17"/>
      <c r="T7" s="17"/>
      <c r="U7" s="17"/>
      <c r="V7" s="17"/>
      <c r="W7" s="17"/>
      <c r="X7" s="18"/>
      <c r="Y7" s="18"/>
      <c r="Z7" s="18"/>
      <c r="AA7" s="17"/>
      <c r="AB7" s="19"/>
      <c r="AC7" s="12"/>
    </row>
  </sheetData>
  <sheetProtection formatCells="0" formatColumns="0" formatRows="0" insertColumns="0" insertRows="0" insertHyperlinks="0" deleteColumns="0" deleteRows="0" selectLockedCells="1" sort="0" autoFilter="0" pivotTables="0"/>
  <mergeCells count="2">
    <mergeCell ref="B6:F6"/>
    <mergeCell ref="A2:K2"/>
  </mergeCells>
  <pageMargins left="0.11811023622047245" right="0.19685039370078741" top="0.35433070866141736" bottom="0.35433070866141736" header="0.31496062992125984" footer="0.31496062992125984"/>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F2044-079C-4FA8-8220-A62C361E6F62}">
  <sheetPr filterMode="1"/>
  <dimension ref="A1:J154"/>
  <sheetViews>
    <sheetView workbookViewId="0">
      <selection activeCell="C2" sqref="C2:C152"/>
    </sheetView>
  </sheetViews>
  <sheetFormatPr defaultRowHeight="15" x14ac:dyDescent="0.25"/>
  <cols>
    <col min="1" max="1" width="3.85546875" customWidth="1"/>
    <col min="2" max="2" width="41.140625" customWidth="1"/>
    <col min="3" max="3" width="41.7109375" customWidth="1"/>
    <col min="4" max="4" width="12.5703125" customWidth="1"/>
    <col min="6" max="6" width="14.7109375" customWidth="1"/>
    <col min="7" max="7" width="13.7109375" customWidth="1"/>
    <col min="8" max="8" width="6.28515625" customWidth="1"/>
  </cols>
  <sheetData>
    <row r="1" spans="1:10" x14ac:dyDescent="0.25">
      <c r="A1" s="157" t="s">
        <v>0</v>
      </c>
      <c r="B1" s="157" t="s">
        <v>248</v>
      </c>
      <c r="C1" s="157" t="s">
        <v>249</v>
      </c>
      <c r="D1" s="157" t="s">
        <v>250</v>
      </c>
      <c r="E1" s="157" t="s">
        <v>251</v>
      </c>
      <c r="F1" s="157" t="s">
        <v>252</v>
      </c>
      <c r="G1" s="157"/>
      <c r="H1" s="157" t="s">
        <v>253</v>
      </c>
      <c r="I1" s="157" t="s">
        <v>253</v>
      </c>
      <c r="J1" s="157" t="s">
        <v>254</v>
      </c>
    </row>
    <row r="2" spans="1:10" x14ac:dyDescent="0.25">
      <c r="A2" s="157">
        <v>1</v>
      </c>
      <c r="B2" s="261" t="s">
        <v>424</v>
      </c>
      <c r="C2" s="261" t="s">
        <v>120</v>
      </c>
      <c r="D2" s="261" t="s">
        <v>144</v>
      </c>
      <c r="E2" s="261" t="s">
        <v>195</v>
      </c>
      <c r="F2" s="261" t="s">
        <v>5</v>
      </c>
      <c r="G2" s="261" t="s">
        <v>262</v>
      </c>
      <c r="H2" s="261" t="s">
        <v>6</v>
      </c>
      <c r="I2" s="261" t="s">
        <v>257</v>
      </c>
      <c r="J2" s="261">
        <v>10</v>
      </c>
    </row>
    <row r="3" spans="1:10" hidden="1" x14ac:dyDescent="0.25">
      <c r="A3" s="157">
        <v>1</v>
      </c>
      <c r="B3" s="157"/>
      <c r="C3" s="157"/>
      <c r="D3" s="157"/>
      <c r="E3" s="157"/>
      <c r="F3" s="157" t="s">
        <v>33</v>
      </c>
      <c r="G3" s="157" t="s">
        <v>263</v>
      </c>
      <c r="H3" s="157"/>
      <c r="I3" s="157"/>
      <c r="J3" s="157"/>
    </row>
    <row r="4" spans="1:10" hidden="1" x14ac:dyDescent="0.25">
      <c r="A4" s="157">
        <v>1</v>
      </c>
      <c r="B4" s="157"/>
      <c r="C4" s="157"/>
      <c r="D4" s="157"/>
      <c r="E4" s="157"/>
      <c r="F4" s="157" t="s">
        <v>162</v>
      </c>
      <c r="G4" s="157" t="s">
        <v>163</v>
      </c>
      <c r="H4" s="157"/>
      <c r="I4" s="157"/>
      <c r="J4" s="157"/>
    </row>
    <row r="5" spans="1:10" hidden="1" x14ac:dyDescent="0.25">
      <c r="A5" s="157">
        <v>1</v>
      </c>
      <c r="B5" s="157"/>
      <c r="C5" s="157"/>
      <c r="D5" s="157"/>
      <c r="E5" s="157"/>
      <c r="F5" s="157" t="s">
        <v>164</v>
      </c>
      <c r="G5" s="157" t="s">
        <v>260</v>
      </c>
      <c r="H5" s="157"/>
      <c r="I5" s="157"/>
      <c r="J5" s="157"/>
    </row>
    <row r="6" spans="1:10" x14ac:dyDescent="0.25">
      <c r="A6" s="157">
        <v>2</v>
      </c>
      <c r="B6" s="261" t="s">
        <v>425</v>
      </c>
      <c r="C6" s="261" t="s">
        <v>84</v>
      </c>
      <c r="D6" s="261" t="s">
        <v>143</v>
      </c>
      <c r="E6" s="261" t="s">
        <v>195</v>
      </c>
      <c r="F6" s="261" t="s">
        <v>5</v>
      </c>
      <c r="G6" s="261" t="s">
        <v>264</v>
      </c>
      <c r="H6" s="261" t="s">
        <v>6</v>
      </c>
      <c r="I6" s="261" t="s">
        <v>257</v>
      </c>
      <c r="J6" s="261">
        <v>5</v>
      </c>
    </row>
    <row r="7" spans="1:10" hidden="1" x14ac:dyDescent="0.25">
      <c r="A7" s="157">
        <v>2</v>
      </c>
      <c r="B7" s="157"/>
      <c r="C7" s="157"/>
      <c r="D7" s="157"/>
      <c r="E7" s="157"/>
      <c r="F7" s="157" t="s">
        <v>33</v>
      </c>
      <c r="G7" s="157" t="s">
        <v>261</v>
      </c>
      <c r="H7" s="157"/>
      <c r="I7" s="157"/>
      <c r="J7" s="157"/>
    </row>
    <row r="8" spans="1:10" hidden="1" x14ac:dyDescent="0.25">
      <c r="A8" s="157">
        <v>2</v>
      </c>
      <c r="B8" s="157"/>
      <c r="C8" s="157"/>
      <c r="D8" s="157"/>
      <c r="E8" s="157"/>
      <c r="F8" s="157" t="s">
        <v>162</v>
      </c>
      <c r="G8" s="157" t="s">
        <v>163</v>
      </c>
      <c r="H8" s="157"/>
      <c r="I8" s="157"/>
      <c r="J8" s="157"/>
    </row>
    <row r="9" spans="1:10" hidden="1" x14ac:dyDescent="0.25">
      <c r="A9" s="157">
        <v>2</v>
      </c>
      <c r="B9" s="157"/>
      <c r="C9" s="157"/>
      <c r="D9" s="157"/>
      <c r="E9" s="157"/>
      <c r="F9" s="157" t="s">
        <v>164</v>
      </c>
      <c r="G9" s="157" t="s">
        <v>260</v>
      </c>
      <c r="H9" s="157"/>
      <c r="I9" s="157"/>
      <c r="J9" s="157"/>
    </row>
    <row r="10" spans="1:10" x14ac:dyDescent="0.25">
      <c r="A10" s="157">
        <v>3</v>
      </c>
      <c r="B10" s="261" t="s">
        <v>426</v>
      </c>
      <c r="C10" s="261" t="s">
        <v>198</v>
      </c>
      <c r="D10" s="261" t="s">
        <v>199</v>
      </c>
      <c r="E10" s="261" t="s">
        <v>195</v>
      </c>
      <c r="F10" s="261" t="s">
        <v>5</v>
      </c>
      <c r="G10" s="261" t="s">
        <v>264</v>
      </c>
      <c r="H10" s="261" t="s">
        <v>6</v>
      </c>
      <c r="I10" s="261" t="s">
        <v>257</v>
      </c>
      <c r="J10" s="261">
        <v>7</v>
      </c>
    </row>
    <row r="11" spans="1:10" hidden="1" x14ac:dyDescent="0.25">
      <c r="A11" s="157">
        <v>3</v>
      </c>
      <c r="B11" s="157"/>
      <c r="C11" s="157"/>
      <c r="D11" s="157"/>
      <c r="E11" s="157"/>
      <c r="F11" s="157" t="s">
        <v>33</v>
      </c>
      <c r="G11" s="157" t="s">
        <v>265</v>
      </c>
      <c r="H11" s="157"/>
      <c r="I11" s="157"/>
      <c r="J11" s="157"/>
    </row>
    <row r="12" spans="1:10" hidden="1" x14ac:dyDescent="0.25">
      <c r="A12" s="157">
        <v>3</v>
      </c>
      <c r="B12" s="157"/>
      <c r="C12" s="157"/>
      <c r="D12" s="157"/>
      <c r="E12" s="157"/>
      <c r="F12" s="157" t="s">
        <v>162</v>
      </c>
      <c r="G12" s="157" t="s">
        <v>163</v>
      </c>
      <c r="H12" s="157"/>
      <c r="I12" s="157"/>
      <c r="J12" s="157"/>
    </row>
    <row r="13" spans="1:10" hidden="1" x14ac:dyDescent="0.25">
      <c r="A13" s="157">
        <v>3</v>
      </c>
      <c r="B13" s="157"/>
      <c r="C13" s="157"/>
      <c r="D13" s="157"/>
      <c r="E13" s="157"/>
      <c r="F13" s="157" t="s">
        <v>164</v>
      </c>
      <c r="G13" s="157" t="s">
        <v>156</v>
      </c>
      <c r="H13" s="157"/>
      <c r="I13" s="157"/>
      <c r="J13" s="157"/>
    </row>
    <row r="14" spans="1:10" x14ac:dyDescent="0.25">
      <c r="A14" s="157">
        <v>4</v>
      </c>
      <c r="B14" s="261" t="s">
        <v>427</v>
      </c>
      <c r="C14" s="261" t="s">
        <v>201</v>
      </c>
      <c r="D14" s="261" t="s">
        <v>193</v>
      </c>
      <c r="E14" s="261" t="s">
        <v>195</v>
      </c>
      <c r="F14" s="261" t="s">
        <v>5</v>
      </c>
      <c r="G14" s="261" t="s">
        <v>264</v>
      </c>
      <c r="H14" s="261" t="s">
        <v>6</v>
      </c>
      <c r="I14" s="261" t="s">
        <v>257</v>
      </c>
      <c r="J14" s="261">
        <v>5</v>
      </c>
    </row>
    <row r="15" spans="1:10" hidden="1" x14ac:dyDescent="0.25">
      <c r="A15" s="157">
        <v>4</v>
      </c>
      <c r="B15" s="157"/>
      <c r="C15" s="157"/>
      <c r="D15" s="157"/>
      <c r="E15" s="157"/>
      <c r="F15" s="157" t="s">
        <v>33</v>
      </c>
      <c r="G15" s="157" t="s">
        <v>265</v>
      </c>
      <c r="H15" s="157"/>
      <c r="I15" s="157"/>
      <c r="J15" s="157"/>
    </row>
    <row r="16" spans="1:10" hidden="1" x14ac:dyDescent="0.25">
      <c r="A16" s="157">
        <v>4</v>
      </c>
      <c r="B16" s="157"/>
      <c r="C16" s="157"/>
      <c r="D16" s="157"/>
      <c r="E16" s="157"/>
      <c r="F16" s="157" t="s">
        <v>162</v>
      </c>
      <c r="G16" s="157" t="s">
        <v>163</v>
      </c>
      <c r="H16" s="157"/>
      <c r="I16" s="157"/>
      <c r="J16" s="157"/>
    </row>
    <row r="17" spans="1:10" hidden="1" x14ac:dyDescent="0.25">
      <c r="A17" s="157">
        <v>4</v>
      </c>
      <c r="B17" s="157"/>
      <c r="C17" s="157"/>
      <c r="D17" s="157"/>
      <c r="E17" s="157"/>
      <c r="F17" s="157" t="s">
        <v>164</v>
      </c>
      <c r="G17" s="157" t="s">
        <v>156</v>
      </c>
      <c r="H17" s="157"/>
      <c r="I17" s="157"/>
      <c r="J17" s="157"/>
    </row>
    <row r="18" spans="1:10" hidden="1" x14ac:dyDescent="0.25">
      <c r="A18" s="157">
        <v>5</v>
      </c>
      <c r="B18" s="261" t="s">
        <v>202</v>
      </c>
      <c r="C18" s="261" t="s">
        <v>203</v>
      </c>
      <c r="D18" s="261" t="s">
        <v>204</v>
      </c>
      <c r="E18" s="261" t="s">
        <v>195</v>
      </c>
      <c r="F18" s="261" t="s">
        <v>5</v>
      </c>
      <c r="G18" s="261" t="s">
        <v>264</v>
      </c>
      <c r="H18" s="261" t="s">
        <v>6</v>
      </c>
      <c r="I18" s="261" t="s">
        <v>257</v>
      </c>
      <c r="J18" s="261">
        <v>0</v>
      </c>
    </row>
    <row r="19" spans="1:10" hidden="1" x14ac:dyDescent="0.25">
      <c r="A19" s="157">
        <v>5</v>
      </c>
      <c r="B19" s="157"/>
      <c r="C19" s="157"/>
      <c r="D19" s="157"/>
      <c r="E19" s="157"/>
      <c r="F19" s="157" t="s">
        <v>33</v>
      </c>
      <c r="G19" s="157" t="s">
        <v>310</v>
      </c>
      <c r="H19" s="157"/>
      <c r="I19" s="157"/>
      <c r="J19" s="157"/>
    </row>
    <row r="20" spans="1:10" hidden="1" x14ac:dyDescent="0.25">
      <c r="A20" s="157">
        <v>5</v>
      </c>
      <c r="B20" s="157"/>
      <c r="C20" s="157"/>
      <c r="D20" s="157"/>
      <c r="E20" s="157"/>
      <c r="F20" s="157" t="s">
        <v>162</v>
      </c>
      <c r="G20" s="157" t="s">
        <v>163</v>
      </c>
      <c r="H20" s="157"/>
      <c r="I20" s="157"/>
      <c r="J20" s="157"/>
    </row>
    <row r="21" spans="1:10" hidden="1" x14ac:dyDescent="0.25">
      <c r="A21" s="157">
        <v>5</v>
      </c>
      <c r="B21" s="157"/>
      <c r="C21" s="157"/>
      <c r="D21" s="157"/>
      <c r="E21" s="157"/>
      <c r="F21" s="157" t="s">
        <v>164</v>
      </c>
      <c r="G21" s="157" t="s">
        <v>156</v>
      </c>
      <c r="H21" s="157"/>
      <c r="I21" s="157"/>
      <c r="J21" s="157"/>
    </row>
    <row r="22" spans="1:10" x14ac:dyDescent="0.25">
      <c r="A22" s="157">
        <v>6</v>
      </c>
      <c r="B22" s="261" t="s">
        <v>428</v>
      </c>
      <c r="C22" s="261" t="s">
        <v>122</v>
      </c>
      <c r="D22" s="261" t="s">
        <v>146</v>
      </c>
      <c r="E22" s="261" t="s">
        <v>195</v>
      </c>
      <c r="F22" s="261" t="s">
        <v>5</v>
      </c>
      <c r="G22" s="261" t="s">
        <v>262</v>
      </c>
      <c r="H22" s="261" t="s">
        <v>6</v>
      </c>
      <c r="I22" s="261" t="s">
        <v>257</v>
      </c>
      <c r="J22" s="261">
        <v>230</v>
      </c>
    </row>
    <row r="23" spans="1:10" hidden="1" x14ac:dyDescent="0.25">
      <c r="A23" s="157">
        <v>6</v>
      </c>
      <c r="B23" s="157"/>
      <c r="C23" s="157"/>
      <c r="D23" s="157"/>
      <c r="E23" s="157"/>
      <c r="F23" s="157" t="s">
        <v>33</v>
      </c>
      <c r="G23" s="157" t="s">
        <v>311</v>
      </c>
      <c r="H23" s="157"/>
      <c r="I23" s="157"/>
      <c r="J23" s="157"/>
    </row>
    <row r="24" spans="1:10" hidden="1" x14ac:dyDescent="0.25">
      <c r="A24" s="157">
        <v>6</v>
      </c>
      <c r="B24" s="157"/>
      <c r="C24" s="157"/>
      <c r="D24" s="157"/>
      <c r="E24" s="157"/>
      <c r="F24" s="157" t="s">
        <v>162</v>
      </c>
      <c r="G24" s="157" t="s">
        <v>163</v>
      </c>
      <c r="H24" s="157"/>
      <c r="I24" s="157"/>
      <c r="J24" s="157"/>
    </row>
    <row r="25" spans="1:10" hidden="1" x14ac:dyDescent="0.25">
      <c r="A25" s="157">
        <v>6</v>
      </c>
      <c r="B25" s="157"/>
      <c r="C25" s="157"/>
      <c r="D25" s="157"/>
      <c r="E25" s="157"/>
      <c r="F25" s="157" t="s">
        <v>164</v>
      </c>
      <c r="G25" s="157" t="s">
        <v>278</v>
      </c>
      <c r="H25" s="157"/>
      <c r="I25" s="157"/>
      <c r="J25" s="157"/>
    </row>
    <row r="26" spans="1:10" x14ac:dyDescent="0.25">
      <c r="A26" s="157">
        <v>7</v>
      </c>
      <c r="B26" s="261" t="s">
        <v>429</v>
      </c>
      <c r="C26" s="261" t="s">
        <v>123</v>
      </c>
      <c r="D26" s="261" t="s">
        <v>147</v>
      </c>
      <c r="E26" s="261" t="s">
        <v>195</v>
      </c>
      <c r="F26" s="261" t="s">
        <v>5</v>
      </c>
      <c r="G26" s="261" t="s">
        <v>264</v>
      </c>
      <c r="H26" s="261" t="s">
        <v>6</v>
      </c>
      <c r="I26" s="261" t="s">
        <v>257</v>
      </c>
      <c r="J26" s="261">
        <v>6</v>
      </c>
    </row>
    <row r="27" spans="1:10" hidden="1" x14ac:dyDescent="0.25">
      <c r="A27" s="157">
        <v>7</v>
      </c>
      <c r="B27" s="157"/>
      <c r="C27" s="157"/>
      <c r="D27" s="157"/>
      <c r="E27" s="157"/>
      <c r="F27" s="157" t="s">
        <v>33</v>
      </c>
      <c r="G27" s="157" t="s">
        <v>312</v>
      </c>
      <c r="H27" s="157"/>
      <c r="I27" s="157"/>
      <c r="J27" s="157"/>
    </row>
    <row r="28" spans="1:10" hidden="1" x14ac:dyDescent="0.25">
      <c r="A28" s="157">
        <v>7</v>
      </c>
      <c r="B28" s="157"/>
      <c r="C28" s="157"/>
      <c r="D28" s="157"/>
      <c r="E28" s="157"/>
      <c r="F28" s="157" t="s">
        <v>162</v>
      </c>
      <c r="G28" s="157" t="s">
        <v>163</v>
      </c>
      <c r="H28" s="157"/>
      <c r="I28" s="157"/>
      <c r="J28" s="157"/>
    </row>
    <row r="29" spans="1:10" hidden="1" x14ac:dyDescent="0.25">
      <c r="A29" s="157">
        <v>7</v>
      </c>
      <c r="B29" s="157"/>
      <c r="C29" s="157"/>
      <c r="D29" s="157"/>
      <c r="E29" s="157"/>
      <c r="F29" s="157" t="s">
        <v>164</v>
      </c>
      <c r="G29" s="157" t="s">
        <v>260</v>
      </c>
      <c r="H29" s="157"/>
      <c r="I29" s="157"/>
      <c r="J29" s="157"/>
    </row>
    <row r="30" spans="1:10" x14ac:dyDescent="0.25">
      <c r="A30" s="157">
        <v>8</v>
      </c>
      <c r="B30" s="261" t="s">
        <v>430</v>
      </c>
      <c r="C30" s="261" t="s">
        <v>124</v>
      </c>
      <c r="D30" s="261" t="s">
        <v>148</v>
      </c>
      <c r="E30" s="261" t="s">
        <v>195</v>
      </c>
      <c r="F30" s="261" t="s">
        <v>5</v>
      </c>
      <c r="G30" s="261" t="s">
        <v>282</v>
      </c>
      <c r="H30" s="261" t="s">
        <v>6</v>
      </c>
      <c r="I30" s="261" t="s">
        <v>257</v>
      </c>
      <c r="J30" s="261">
        <v>6</v>
      </c>
    </row>
    <row r="31" spans="1:10" hidden="1" x14ac:dyDescent="0.25">
      <c r="A31" s="157">
        <v>8</v>
      </c>
      <c r="B31" s="157"/>
      <c r="C31" s="157"/>
      <c r="D31" s="157"/>
      <c r="E31" s="157"/>
      <c r="F31" s="157" t="s">
        <v>33</v>
      </c>
      <c r="G31" s="157" t="s">
        <v>313</v>
      </c>
      <c r="H31" s="157"/>
      <c r="I31" s="157"/>
      <c r="J31" s="157"/>
    </row>
    <row r="32" spans="1:10" hidden="1" x14ac:dyDescent="0.25">
      <c r="A32" s="157">
        <v>8</v>
      </c>
      <c r="B32" s="157"/>
      <c r="C32" s="157"/>
      <c r="D32" s="157"/>
      <c r="E32" s="157"/>
      <c r="F32" s="157" t="s">
        <v>162</v>
      </c>
      <c r="G32" s="157" t="s">
        <v>163</v>
      </c>
      <c r="H32" s="157"/>
      <c r="I32" s="157"/>
      <c r="J32" s="157"/>
    </row>
    <row r="33" spans="1:10" hidden="1" x14ac:dyDescent="0.25">
      <c r="A33" s="157">
        <v>8</v>
      </c>
      <c r="B33" s="157"/>
      <c r="C33" s="157"/>
      <c r="D33" s="157"/>
      <c r="E33" s="157"/>
      <c r="F33" s="157" t="s">
        <v>164</v>
      </c>
      <c r="G33" s="157" t="s">
        <v>266</v>
      </c>
      <c r="H33" s="157"/>
      <c r="I33" s="157"/>
      <c r="J33" s="157"/>
    </row>
    <row r="34" spans="1:10" x14ac:dyDescent="0.25">
      <c r="A34" s="157">
        <v>9</v>
      </c>
      <c r="B34" s="261" t="s">
        <v>208</v>
      </c>
      <c r="C34" s="261" t="s">
        <v>126</v>
      </c>
      <c r="D34" s="261" t="s">
        <v>149</v>
      </c>
      <c r="E34" s="261" t="s">
        <v>195</v>
      </c>
      <c r="F34" s="261" t="s">
        <v>5</v>
      </c>
      <c r="G34" s="261" t="s">
        <v>283</v>
      </c>
      <c r="H34" s="261" t="s">
        <v>6</v>
      </c>
      <c r="I34" s="261" t="s">
        <v>257</v>
      </c>
      <c r="J34" s="261">
        <v>20</v>
      </c>
    </row>
    <row r="35" spans="1:10" hidden="1" x14ac:dyDescent="0.25">
      <c r="A35" s="157">
        <v>9</v>
      </c>
      <c r="B35" s="157"/>
      <c r="C35" s="157"/>
      <c r="D35" s="157"/>
      <c r="E35" s="157"/>
      <c r="F35" s="157" t="s">
        <v>162</v>
      </c>
      <c r="G35" s="157" t="s">
        <v>306</v>
      </c>
      <c r="H35" s="157"/>
      <c r="I35" s="157"/>
      <c r="J35" s="157"/>
    </row>
    <row r="36" spans="1:10" hidden="1" x14ac:dyDescent="0.25">
      <c r="A36" s="157">
        <v>9</v>
      </c>
      <c r="B36" s="157"/>
      <c r="C36" s="157"/>
      <c r="D36" s="157"/>
      <c r="E36" s="157"/>
      <c r="F36" s="157" t="s">
        <v>164</v>
      </c>
      <c r="G36" s="157" t="s">
        <v>127</v>
      </c>
      <c r="H36" s="157"/>
      <c r="I36" s="157"/>
      <c r="J36" s="157"/>
    </row>
    <row r="37" spans="1:10" x14ac:dyDescent="0.25">
      <c r="A37" s="157">
        <v>10</v>
      </c>
      <c r="B37" s="261" t="s">
        <v>209</v>
      </c>
      <c r="C37" s="261" t="s">
        <v>210</v>
      </c>
      <c r="D37" s="261" t="s">
        <v>149</v>
      </c>
      <c r="E37" s="261" t="s">
        <v>195</v>
      </c>
      <c r="F37" s="261" t="s">
        <v>5</v>
      </c>
      <c r="G37" s="261" t="s">
        <v>283</v>
      </c>
      <c r="H37" s="261" t="s">
        <v>6</v>
      </c>
      <c r="I37" s="261" t="s">
        <v>257</v>
      </c>
      <c r="J37" s="261">
        <v>20</v>
      </c>
    </row>
    <row r="38" spans="1:10" hidden="1" x14ac:dyDescent="0.25">
      <c r="A38" s="157">
        <v>10</v>
      </c>
      <c r="B38" s="157"/>
      <c r="C38" s="157"/>
      <c r="D38" s="157"/>
      <c r="E38" s="157"/>
      <c r="F38" s="157" t="s">
        <v>162</v>
      </c>
      <c r="G38" s="157" t="s">
        <v>306</v>
      </c>
      <c r="H38" s="157"/>
      <c r="I38" s="157"/>
      <c r="J38" s="157"/>
    </row>
    <row r="39" spans="1:10" hidden="1" x14ac:dyDescent="0.25">
      <c r="A39" s="157">
        <v>10</v>
      </c>
      <c r="B39" s="157"/>
      <c r="C39" s="157"/>
      <c r="D39" s="157"/>
      <c r="E39" s="157"/>
      <c r="F39" s="157" t="s">
        <v>164</v>
      </c>
      <c r="G39" s="157" t="s">
        <v>127</v>
      </c>
      <c r="H39" s="157"/>
      <c r="I39" s="157"/>
      <c r="J39" s="157"/>
    </row>
    <row r="40" spans="1:10" hidden="1" x14ac:dyDescent="0.25">
      <c r="A40" s="157">
        <v>11</v>
      </c>
      <c r="B40" s="261" t="s">
        <v>211</v>
      </c>
      <c r="C40" s="261" t="s">
        <v>212</v>
      </c>
      <c r="D40" s="261" t="s">
        <v>213</v>
      </c>
      <c r="E40" s="261" t="s">
        <v>195</v>
      </c>
      <c r="F40" s="261" t="s">
        <v>5</v>
      </c>
      <c r="G40" s="261" t="s">
        <v>284</v>
      </c>
      <c r="H40" s="261" t="s">
        <v>85</v>
      </c>
      <c r="I40" s="261" t="s">
        <v>257</v>
      </c>
      <c r="J40" s="261">
        <v>0</v>
      </c>
    </row>
    <row r="41" spans="1:10" hidden="1" x14ac:dyDescent="0.25">
      <c r="A41" s="157">
        <v>11</v>
      </c>
      <c r="B41" s="157"/>
      <c r="C41" s="157"/>
      <c r="D41" s="157"/>
      <c r="E41" s="157"/>
      <c r="F41" s="157" t="s">
        <v>33</v>
      </c>
      <c r="G41" s="157" t="s">
        <v>314</v>
      </c>
      <c r="H41" s="157"/>
      <c r="I41" s="157"/>
      <c r="J41" s="157"/>
    </row>
    <row r="42" spans="1:10" hidden="1" x14ac:dyDescent="0.25">
      <c r="A42" s="157">
        <v>11</v>
      </c>
      <c r="B42" s="157"/>
      <c r="C42" s="157"/>
      <c r="D42" s="157"/>
      <c r="E42" s="157"/>
      <c r="F42" s="157" t="s">
        <v>164</v>
      </c>
      <c r="G42" s="157" t="s">
        <v>267</v>
      </c>
      <c r="H42" s="157"/>
      <c r="I42" s="157"/>
      <c r="J42" s="157"/>
    </row>
    <row r="43" spans="1:10" x14ac:dyDescent="0.25">
      <c r="A43" s="157">
        <v>12</v>
      </c>
      <c r="B43" s="261" t="s">
        <v>457</v>
      </c>
      <c r="C43" s="261" t="s">
        <v>215</v>
      </c>
      <c r="D43" s="261" t="s">
        <v>143</v>
      </c>
      <c r="E43" s="261" t="s">
        <v>195</v>
      </c>
      <c r="F43" s="261" t="s">
        <v>5</v>
      </c>
      <c r="G43" s="261" t="s">
        <v>284</v>
      </c>
      <c r="H43" s="261" t="s">
        <v>85</v>
      </c>
      <c r="I43" s="261" t="s">
        <v>257</v>
      </c>
      <c r="J43" s="261">
        <v>10</v>
      </c>
    </row>
    <row r="44" spans="1:10" hidden="1" x14ac:dyDescent="0.25">
      <c r="A44" s="157">
        <v>12</v>
      </c>
      <c r="B44" s="157"/>
      <c r="C44" s="157"/>
      <c r="D44" s="157"/>
      <c r="E44" s="157"/>
      <c r="F44" s="157" t="s">
        <v>33</v>
      </c>
      <c r="G44" s="157" t="s">
        <v>315</v>
      </c>
      <c r="H44" s="157"/>
      <c r="I44" s="157"/>
      <c r="J44" s="157"/>
    </row>
    <row r="45" spans="1:10" hidden="1" x14ac:dyDescent="0.25">
      <c r="A45" s="157">
        <v>12</v>
      </c>
      <c r="B45" s="157"/>
      <c r="C45" s="157"/>
      <c r="D45" s="157"/>
      <c r="E45" s="157"/>
      <c r="F45" s="157" t="s">
        <v>164</v>
      </c>
      <c r="G45" s="157" t="s">
        <v>267</v>
      </c>
      <c r="H45" s="157"/>
      <c r="I45" s="157"/>
      <c r="J45" s="157"/>
    </row>
    <row r="46" spans="1:10" x14ac:dyDescent="0.25">
      <c r="A46" s="157">
        <v>13</v>
      </c>
      <c r="B46" s="261" t="s">
        <v>216</v>
      </c>
      <c r="C46" s="261" t="s">
        <v>131</v>
      </c>
      <c r="D46" s="261" t="s">
        <v>146</v>
      </c>
      <c r="E46" s="261" t="s">
        <v>195</v>
      </c>
      <c r="F46" s="261" t="s">
        <v>5</v>
      </c>
      <c r="G46" s="261" t="s">
        <v>285</v>
      </c>
      <c r="H46" s="261" t="s">
        <v>85</v>
      </c>
      <c r="I46" s="261" t="s">
        <v>257</v>
      </c>
      <c r="J46" s="261">
        <v>10</v>
      </c>
    </row>
    <row r="47" spans="1:10" hidden="1" x14ac:dyDescent="0.25">
      <c r="A47" s="157">
        <v>13</v>
      </c>
      <c r="B47" s="157"/>
      <c r="C47" s="157"/>
      <c r="D47" s="157"/>
      <c r="E47" s="157"/>
      <c r="F47" s="157" t="s">
        <v>33</v>
      </c>
      <c r="G47" s="157" t="s">
        <v>316</v>
      </c>
      <c r="H47" s="157"/>
      <c r="I47" s="157"/>
      <c r="J47" s="157"/>
    </row>
    <row r="48" spans="1:10" hidden="1" x14ac:dyDescent="0.25">
      <c r="A48" s="157">
        <v>13</v>
      </c>
      <c r="B48" s="157"/>
      <c r="C48" s="157"/>
      <c r="D48" s="157"/>
      <c r="E48" s="157"/>
      <c r="F48" s="157" t="s">
        <v>164</v>
      </c>
      <c r="G48" s="157" t="s">
        <v>267</v>
      </c>
      <c r="H48" s="157"/>
      <c r="I48" s="157"/>
      <c r="J48" s="157"/>
    </row>
    <row r="49" spans="1:10" x14ac:dyDescent="0.25">
      <c r="A49" s="157">
        <v>14</v>
      </c>
      <c r="B49" s="261" t="s">
        <v>157</v>
      </c>
      <c r="C49" s="261" t="s">
        <v>158</v>
      </c>
      <c r="D49" s="261" t="s">
        <v>192</v>
      </c>
      <c r="E49" s="261" t="s">
        <v>195</v>
      </c>
      <c r="F49" s="261" t="s">
        <v>5</v>
      </c>
      <c r="G49" s="261" t="s">
        <v>284</v>
      </c>
      <c r="H49" s="261" t="s">
        <v>85</v>
      </c>
      <c r="I49" s="261" t="s">
        <v>257</v>
      </c>
      <c r="J49" s="261">
        <v>3</v>
      </c>
    </row>
    <row r="50" spans="1:10" hidden="1" x14ac:dyDescent="0.25">
      <c r="A50" s="157">
        <v>14</v>
      </c>
      <c r="B50" s="157"/>
      <c r="C50" s="157"/>
      <c r="D50" s="157"/>
      <c r="E50" s="157"/>
      <c r="F50" s="157" t="s">
        <v>33</v>
      </c>
      <c r="G50" s="157" t="s">
        <v>317</v>
      </c>
      <c r="H50" s="157"/>
      <c r="I50" s="157"/>
      <c r="J50" s="157"/>
    </row>
    <row r="51" spans="1:10" hidden="1" x14ac:dyDescent="0.25">
      <c r="A51" s="157">
        <v>14</v>
      </c>
      <c r="B51" s="157"/>
      <c r="C51" s="157"/>
      <c r="D51" s="157"/>
      <c r="E51" s="157"/>
      <c r="F51" s="157" t="s">
        <v>164</v>
      </c>
      <c r="G51" s="157" t="s">
        <v>268</v>
      </c>
      <c r="H51" s="157"/>
      <c r="I51" s="157"/>
      <c r="J51" s="157"/>
    </row>
    <row r="52" spans="1:10" x14ac:dyDescent="0.25">
      <c r="A52" s="157">
        <v>15</v>
      </c>
      <c r="B52" s="261" t="s">
        <v>217</v>
      </c>
      <c r="C52" s="261" t="s">
        <v>218</v>
      </c>
      <c r="D52" s="261" t="s">
        <v>150</v>
      </c>
      <c r="E52" s="261" t="s">
        <v>195</v>
      </c>
      <c r="F52" s="261" t="s">
        <v>5</v>
      </c>
      <c r="G52" s="261" t="s">
        <v>286</v>
      </c>
      <c r="H52" s="261" t="s">
        <v>85</v>
      </c>
      <c r="I52" s="261" t="s">
        <v>257</v>
      </c>
      <c r="J52" s="261">
        <v>6</v>
      </c>
    </row>
    <row r="53" spans="1:10" hidden="1" x14ac:dyDescent="0.25">
      <c r="A53" s="157">
        <v>15</v>
      </c>
      <c r="B53" s="157"/>
      <c r="C53" s="157"/>
      <c r="D53" s="157"/>
      <c r="E53" s="157"/>
      <c r="F53" s="157" t="s">
        <v>33</v>
      </c>
      <c r="G53" s="157" t="s">
        <v>255</v>
      </c>
      <c r="H53" s="157"/>
      <c r="I53" s="157"/>
      <c r="J53" s="157"/>
    </row>
    <row r="54" spans="1:10" hidden="1" x14ac:dyDescent="0.25">
      <c r="A54" s="157">
        <v>15</v>
      </c>
      <c r="B54" s="157"/>
      <c r="C54" s="157"/>
      <c r="D54" s="157"/>
      <c r="E54" s="157"/>
      <c r="F54" s="157" t="s">
        <v>164</v>
      </c>
      <c r="G54" s="157" t="s">
        <v>269</v>
      </c>
      <c r="H54" s="157"/>
      <c r="I54" s="157"/>
      <c r="J54" s="157"/>
    </row>
    <row r="55" spans="1:10" x14ac:dyDescent="0.25">
      <c r="A55" s="157">
        <v>16</v>
      </c>
      <c r="B55" s="261" t="s">
        <v>219</v>
      </c>
      <c r="C55" s="261" t="s">
        <v>220</v>
      </c>
      <c r="D55" s="261" t="s">
        <v>221</v>
      </c>
      <c r="E55" s="261" t="s">
        <v>195</v>
      </c>
      <c r="F55" s="261" t="s">
        <v>5</v>
      </c>
      <c r="G55" s="261" t="s">
        <v>286</v>
      </c>
      <c r="H55" s="261" t="s">
        <v>85</v>
      </c>
      <c r="I55" s="261" t="s">
        <v>257</v>
      </c>
      <c r="J55" s="261">
        <v>3</v>
      </c>
    </row>
    <row r="56" spans="1:10" hidden="1" x14ac:dyDescent="0.25">
      <c r="A56" s="157">
        <v>16</v>
      </c>
      <c r="B56" s="157"/>
      <c r="C56" s="157"/>
      <c r="D56" s="157"/>
      <c r="E56" s="157"/>
      <c r="F56" s="157" t="s">
        <v>33</v>
      </c>
      <c r="G56" s="157" t="s">
        <v>256</v>
      </c>
      <c r="H56" s="157"/>
      <c r="I56" s="157"/>
      <c r="J56" s="157"/>
    </row>
    <row r="57" spans="1:10" hidden="1" x14ac:dyDescent="0.25">
      <c r="A57" s="157">
        <v>16</v>
      </c>
      <c r="B57" s="157"/>
      <c r="C57" s="157"/>
      <c r="D57" s="157"/>
      <c r="E57" s="157"/>
      <c r="F57" s="157" t="s">
        <v>164</v>
      </c>
      <c r="G57" s="157" t="s">
        <v>270</v>
      </c>
      <c r="H57" s="157"/>
      <c r="I57" s="157"/>
      <c r="J57" s="157"/>
    </row>
    <row r="58" spans="1:10" x14ac:dyDescent="0.25">
      <c r="A58" s="157">
        <v>17</v>
      </c>
      <c r="B58" s="263" t="s">
        <v>404</v>
      </c>
      <c r="C58" s="261" t="s">
        <v>134</v>
      </c>
      <c r="D58" s="261" t="s">
        <v>223</v>
      </c>
      <c r="E58" s="261" t="s">
        <v>195</v>
      </c>
      <c r="F58" s="261" t="s">
        <v>5</v>
      </c>
      <c r="G58" s="261" t="s">
        <v>286</v>
      </c>
      <c r="H58" s="261" t="s">
        <v>85</v>
      </c>
      <c r="I58" s="261" t="s">
        <v>257</v>
      </c>
      <c r="J58" s="261">
        <v>10</v>
      </c>
    </row>
    <row r="59" spans="1:10" hidden="1" x14ac:dyDescent="0.25">
      <c r="A59" s="157">
        <v>17</v>
      </c>
      <c r="B59" s="157"/>
      <c r="C59" s="157"/>
      <c r="D59" s="157"/>
      <c r="E59" s="157"/>
      <c r="F59" s="157" t="s">
        <v>33</v>
      </c>
      <c r="G59" s="157" t="s">
        <v>318</v>
      </c>
      <c r="H59" s="157"/>
      <c r="I59" s="157"/>
      <c r="J59" s="157"/>
    </row>
    <row r="60" spans="1:10" hidden="1" x14ac:dyDescent="0.25">
      <c r="A60" s="157">
        <v>17</v>
      </c>
      <c r="B60" s="157"/>
      <c r="C60" s="157"/>
      <c r="D60" s="157"/>
      <c r="E60" s="157"/>
      <c r="F60" s="157" t="s">
        <v>164</v>
      </c>
      <c r="G60" s="157" t="s">
        <v>271</v>
      </c>
      <c r="H60" s="157"/>
      <c r="I60" s="157"/>
      <c r="J60" s="157"/>
    </row>
    <row r="61" spans="1:10" x14ac:dyDescent="0.25">
      <c r="A61" s="157">
        <v>18</v>
      </c>
      <c r="B61" s="261" t="s">
        <v>431</v>
      </c>
      <c r="C61" s="261" t="s">
        <v>121</v>
      </c>
      <c r="D61" s="261" t="s">
        <v>145</v>
      </c>
      <c r="E61" s="261" t="s">
        <v>195</v>
      </c>
      <c r="F61" s="261" t="s">
        <v>5</v>
      </c>
      <c r="G61" s="261" t="s">
        <v>262</v>
      </c>
      <c r="H61" s="261" t="s">
        <v>6</v>
      </c>
      <c r="I61" s="261" t="s">
        <v>257</v>
      </c>
      <c r="J61" s="261">
        <v>8</v>
      </c>
    </row>
    <row r="62" spans="1:10" hidden="1" x14ac:dyDescent="0.25">
      <c r="A62" s="157">
        <v>18</v>
      </c>
      <c r="B62" s="157"/>
      <c r="C62" s="157"/>
      <c r="D62" s="157"/>
      <c r="E62" s="157"/>
      <c r="F62" s="157" t="s">
        <v>33</v>
      </c>
      <c r="G62" s="157" t="s">
        <v>319</v>
      </c>
      <c r="H62" s="157"/>
      <c r="I62" s="157"/>
      <c r="J62" s="157"/>
    </row>
    <row r="63" spans="1:10" hidden="1" x14ac:dyDescent="0.25">
      <c r="A63" s="157">
        <v>18</v>
      </c>
      <c r="B63" s="157"/>
      <c r="C63" s="157"/>
      <c r="D63" s="157"/>
      <c r="E63" s="157"/>
      <c r="F63" s="157" t="s">
        <v>162</v>
      </c>
      <c r="G63" s="157" t="s">
        <v>163</v>
      </c>
      <c r="H63" s="157"/>
      <c r="I63" s="157"/>
      <c r="J63" s="157"/>
    </row>
    <row r="64" spans="1:10" hidden="1" x14ac:dyDescent="0.25">
      <c r="A64" s="157">
        <v>18</v>
      </c>
      <c r="B64" s="157"/>
      <c r="C64" s="157"/>
      <c r="D64" s="157"/>
      <c r="E64" s="157"/>
      <c r="F64" s="157" t="s">
        <v>164</v>
      </c>
      <c r="G64" s="157" t="s">
        <v>156</v>
      </c>
      <c r="H64" s="157"/>
      <c r="I64" s="157"/>
      <c r="J64" s="157"/>
    </row>
    <row r="65" spans="1:10" hidden="1" x14ac:dyDescent="0.25">
      <c r="A65" s="157">
        <v>19</v>
      </c>
      <c r="B65" s="261" t="s">
        <v>225</v>
      </c>
      <c r="C65" s="261" t="s">
        <v>155</v>
      </c>
      <c r="D65" s="261" t="s">
        <v>191</v>
      </c>
      <c r="E65" s="261" t="s">
        <v>195</v>
      </c>
      <c r="F65" s="261" t="s">
        <v>5</v>
      </c>
      <c r="G65" s="261" t="s">
        <v>287</v>
      </c>
      <c r="H65" s="261" t="s">
        <v>6</v>
      </c>
      <c r="I65" s="261" t="s">
        <v>257</v>
      </c>
      <c r="J65" s="261">
        <v>0</v>
      </c>
    </row>
    <row r="66" spans="1:10" hidden="1" x14ac:dyDescent="0.25">
      <c r="A66" s="157">
        <v>19</v>
      </c>
      <c r="B66" s="157"/>
      <c r="C66" s="157"/>
      <c r="D66" s="157"/>
      <c r="E66" s="157"/>
      <c r="F66" s="157" t="s">
        <v>33</v>
      </c>
      <c r="G66" s="157" t="s">
        <v>320</v>
      </c>
      <c r="H66" s="157"/>
      <c r="I66" s="157"/>
      <c r="J66" s="157"/>
    </row>
    <row r="67" spans="1:10" hidden="1" x14ac:dyDescent="0.25">
      <c r="A67" s="157">
        <v>19</v>
      </c>
      <c r="B67" s="157"/>
      <c r="C67" s="157"/>
      <c r="D67" s="157"/>
      <c r="E67" s="157"/>
      <c r="F67" s="157" t="s">
        <v>162</v>
      </c>
      <c r="G67" s="157" t="s">
        <v>163</v>
      </c>
      <c r="H67" s="157"/>
      <c r="I67" s="157"/>
      <c r="J67" s="157"/>
    </row>
    <row r="68" spans="1:10" hidden="1" x14ac:dyDescent="0.25">
      <c r="A68" s="157">
        <v>19</v>
      </c>
      <c r="B68" s="157"/>
      <c r="C68" s="157"/>
      <c r="D68" s="157"/>
      <c r="E68" s="157"/>
      <c r="F68" s="157" t="s">
        <v>164</v>
      </c>
      <c r="G68" s="157" t="s">
        <v>156</v>
      </c>
      <c r="H68" s="157"/>
      <c r="I68" s="157"/>
      <c r="J68" s="157"/>
    </row>
    <row r="69" spans="1:10" x14ac:dyDescent="0.25">
      <c r="A69" s="157">
        <v>20</v>
      </c>
      <c r="B69" s="261" t="s">
        <v>226</v>
      </c>
      <c r="C69" s="261" t="s">
        <v>227</v>
      </c>
      <c r="D69" s="261" t="s">
        <v>146</v>
      </c>
      <c r="E69" s="261" t="s">
        <v>195</v>
      </c>
      <c r="F69" s="261" t="s">
        <v>5</v>
      </c>
      <c r="G69" s="261" t="s">
        <v>285</v>
      </c>
      <c r="H69" s="261" t="s">
        <v>85</v>
      </c>
      <c r="I69" s="261" t="s">
        <v>257</v>
      </c>
      <c r="J69" s="261">
        <v>10</v>
      </c>
    </row>
    <row r="70" spans="1:10" hidden="1" x14ac:dyDescent="0.25">
      <c r="A70" s="157">
        <v>20</v>
      </c>
      <c r="B70" s="157"/>
      <c r="C70" s="157"/>
      <c r="D70" s="157"/>
      <c r="E70" s="157"/>
      <c r="F70" s="157" t="s">
        <v>33</v>
      </c>
      <c r="G70" s="157" t="s">
        <v>321</v>
      </c>
      <c r="H70" s="157"/>
      <c r="I70" s="157"/>
      <c r="J70" s="157"/>
    </row>
    <row r="71" spans="1:10" hidden="1" x14ac:dyDescent="0.25">
      <c r="A71" s="157">
        <v>20</v>
      </c>
      <c r="B71" s="157"/>
      <c r="C71" s="157"/>
      <c r="D71" s="157"/>
      <c r="E71" s="157"/>
      <c r="F71" s="157" t="s">
        <v>164</v>
      </c>
      <c r="G71" s="157" t="s">
        <v>268</v>
      </c>
      <c r="H71" s="157"/>
      <c r="I71" s="157"/>
      <c r="J71" s="157"/>
    </row>
    <row r="72" spans="1:10" hidden="1" x14ac:dyDescent="0.25">
      <c r="A72" s="157">
        <v>21</v>
      </c>
      <c r="B72" s="261" t="s">
        <v>228</v>
      </c>
      <c r="C72" s="261" t="s">
        <v>135</v>
      </c>
      <c r="D72" s="261" t="s">
        <v>152</v>
      </c>
      <c r="E72" s="261" t="s">
        <v>195</v>
      </c>
      <c r="F72" s="261" t="s">
        <v>5</v>
      </c>
      <c r="G72" s="262" t="s">
        <v>288</v>
      </c>
      <c r="H72" s="261" t="s">
        <v>6</v>
      </c>
      <c r="I72" s="261" t="s">
        <v>257</v>
      </c>
      <c r="J72" s="261">
        <v>0</v>
      </c>
    </row>
    <row r="73" spans="1:10" hidden="1" x14ac:dyDescent="0.25">
      <c r="A73" s="157">
        <v>21</v>
      </c>
      <c r="B73" s="157"/>
      <c r="C73" s="157"/>
      <c r="D73" s="157"/>
      <c r="E73" s="157"/>
      <c r="F73" s="157" t="s">
        <v>33</v>
      </c>
      <c r="G73" s="157" t="s">
        <v>322</v>
      </c>
      <c r="H73" s="157"/>
      <c r="I73" s="157"/>
      <c r="J73" s="157"/>
    </row>
    <row r="74" spans="1:10" hidden="1" x14ac:dyDescent="0.25">
      <c r="A74" s="157">
        <v>21</v>
      </c>
      <c r="B74" s="157"/>
      <c r="C74" s="157"/>
      <c r="D74" s="157"/>
      <c r="E74" s="157"/>
      <c r="F74" s="157" t="s">
        <v>162</v>
      </c>
      <c r="G74" s="157" t="s">
        <v>307</v>
      </c>
      <c r="H74" s="157"/>
      <c r="I74" s="157"/>
      <c r="J74" s="157"/>
    </row>
    <row r="75" spans="1:10" hidden="1" x14ac:dyDescent="0.25">
      <c r="A75" s="157">
        <v>21</v>
      </c>
      <c r="B75" s="157"/>
      <c r="C75" s="157"/>
      <c r="D75" s="157"/>
      <c r="E75" s="157"/>
      <c r="F75" s="157" t="s">
        <v>164</v>
      </c>
      <c r="G75" s="157" t="s">
        <v>136</v>
      </c>
      <c r="H75" s="157"/>
      <c r="I75" s="157"/>
      <c r="J75" s="157"/>
    </row>
    <row r="76" spans="1:10" x14ac:dyDescent="0.25">
      <c r="A76" s="157">
        <v>22</v>
      </c>
      <c r="B76" s="261" t="s">
        <v>229</v>
      </c>
      <c r="C76" s="261" t="s">
        <v>137</v>
      </c>
      <c r="D76" s="261" t="s">
        <v>145</v>
      </c>
      <c r="E76" s="261" t="s">
        <v>195</v>
      </c>
      <c r="F76" s="261" t="s">
        <v>5</v>
      </c>
      <c r="G76" s="261" t="s">
        <v>289</v>
      </c>
      <c r="H76" s="261" t="s">
        <v>6</v>
      </c>
      <c r="I76" s="261" t="s">
        <v>257</v>
      </c>
      <c r="J76" s="261">
        <v>30</v>
      </c>
    </row>
    <row r="77" spans="1:10" hidden="1" x14ac:dyDescent="0.25">
      <c r="A77" s="157">
        <v>22</v>
      </c>
      <c r="B77" s="157"/>
      <c r="C77" s="157"/>
      <c r="D77" s="157"/>
      <c r="E77" s="157"/>
      <c r="F77" s="157" t="s">
        <v>33</v>
      </c>
      <c r="G77" s="157" t="s">
        <v>323</v>
      </c>
      <c r="H77" s="157"/>
      <c r="I77" s="157"/>
      <c r="J77" s="157"/>
    </row>
    <row r="78" spans="1:10" hidden="1" x14ac:dyDescent="0.25">
      <c r="A78" s="157">
        <v>22</v>
      </c>
      <c r="B78" s="157"/>
      <c r="C78" s="157"/>
      <c r="D78" s="157"/>
      <c r="E78" s="157"/>
      <c r="F78" s="157" t="s">
        <v>162</v>
      </c>
      <c r="G78" s="157" t="s">
        <v>306</v>
      </c>
      <c r="H78" s="157"/>
      <c r="I78" s="157"/>
      <c r="J78" s="157"/>
    </row>
    <row r="79" spans="1:10" hidden="1" x14ac:dyDescent="0.25">
      <c r="A79" s="157">
        <v>22</v>
      </c>
      <c r="B79" s="157"/>
      <c r="C79" s="157"/>
      <c r="D79" s="157"/>
      <c r="E79" s="157"/>
      <c r="F79" s="157" t="s">
        <v>164</v>
      </c>
      <c r="G79" s="157" t="s">
        <v>274</v>
      </c>
      <c r="H79" s="157"/>
      <c r="I79" s="157"/>
      <c r="J79" s="157"/>
    </row>
    <row r="80" spans="1:10" x14ac:dyDescent="0.25">
      <c r="A80" s="157">
        <v>23</v>
      </c>
      <c r="B80" s="261" t="s">
        <v>230</v>
      </c>
      <c r="C80" s="261" t="s">
        <v>231</v>
      </c>
      <c r="D80" s="261" t="s">
        <v>232</v>
      </c>
      <c r="E80" s="261" t="s">
        <v>195</v>
      </c>
      <c r="F80" s="261" t="s">
        <v>5</v>
      </c>
      <c r="G80" s="262" t="s">
        <v>279</v>
      </c>
      <c r="H80" s="261" t="s">
        <v>153</v>
      </c>
      <c r="I80" s="261" t="s">
        <v>257</v>
      </c>
      <c r="J80" s="261">
        <v>10</v>
      </c>
    </row>
    <row r="81" spans="1:10" hidden="1" x14ac:dyDescent="0.25">
      <c r="A81" s="157">
        <v>23</v>
      </c>
      <c r="B81" s="157"/>
      <c r="C81" s="157"/>
      <c r="D81" s="157"/>
      <c r="E81" s="157"/>
      <c r="F81" s="157" t="s">
        <v>162</v>
      </c>
      <c r="G81" s="157" t="s">
        <v>281</v>
      </c>
      <c r="H81" s="157"/>
      <c r="I81" s="157"/>
      <c r="J81" s="157"/>
    </row>
    <row r="82" spans="1:10" hidden="1" x14ac:dyDescent="0.25">
      <c r="A82" s="157">
        <v>23</v>
      </c>
      <c r="B82" s="157"/>
      <c r="C82" s="157"/>
      <c r="D82" s="157"/>
      <c r="E82" s="157"/>
      <c r="F82" s="157" t="s">
        <v>164</v>
      </c>
      <c r="G82" s="157" t="s">
        <v>272</v>
      </c>
      <c r="H82" s="157"/>
      <c r="I82" s="157"/>
      <c r="J82" s="157"/>
    </row>
    <row r="83" spans="1:10" x14ac:dyDescent="0.25">
      <c r="A83" s="157">
        <v>24</v>
      </c>
      <c r="B83" s="261" t="s">
        <v>341</v>
      </c>
      <c r="C83" s="261" t="s">
        <v>234</v>
      </c>
      <c r="D83" s="261" t="s">
        <v>235</v>
      </c>
      <c r="E83" s="261" t="s">
        <v>195</v>
      </c>
      <c r="F83" s="261" t="s">
        <v>5</v>
      </c>
      <c r="G83" s="261" t="s">
        <v>290</v>
      </c>
      <c r="H83" s="261" t="s">
        <v>6</v>
      </c>
      <c r="I83" s="261" t="s">
        <v>257</v>
      </c>
      <c r="J83" s="261">
        <v>336</v>
      </c>
    </row>
    <row r="84" spans="1:10" hidden="1" x14ac:dyDescent="0.25">
      <c r="A84" s="157">
        <v>24</v>
      </c>
      <c r="B84" s="157"/>
      <c r="C84" s="157"/>
      <c r="D84" s="157"/>
      <c r="E84" s="157"/>
      <c r="F84" s="157" t="s">
        <v>33</v>
      </c>
      <c r="G84" s="157" t="s">
        <v>324</v>
      </c>
      <c r="H84" s="157"/>
      <c r="I84" s="157"/>
      <c r="J84" s="157"/>
    </row>
    <row r="85" spans="1:10" hidden="1" x14ac:dyDescent="0.25">
      <c r="A85" s="157">
        <v>24</v>
      </c>
      <c r="B85" s="157"/>
      <c r="C85" s="157"/>
      <c r="D85" s="157"/>
      <c r="E85" s="157"/>
      <c r="F85" s="157" t="s">
        <v>162</v>
      </c>
      <c r="G85" s="157" t="s">
        <v>308</v>
      </c>
      <c r="H85" s="157"/>
      <c r="I85" s="157"/>
      <c r="J85" s="157"/>
    </row>
    <row r="86" spans="1:10" hidden="1" x14ac:dyDescent="0.25">
      <c r="A86" s="157">
        <v>24</v>
      </c>
      <c r="B86" s="157"/>
      <c r="C86" s="157"/>
      <c r="D86" s="157"/>
      <c r="E86" s="157"/>
      <c r="F86" s="157" t="s">
        <v>164</v>
      </c>
      <c r="G86" s="157" t="s">
        <v>342</v>
      </c>
      <c r="H86" s="157"/>
      <c r="I86" s="157"/>
      <c r="J86" s="157"/>
    </row>
    <row r="87" spans="1:10" x14ac:dyDescent="0.25">
      <c r="A87" s="157">
        <v>25</v>
      </c>
      <c r="B87" s="261" t="s">
        <v>236</v>
      </c>
      <c r="C87" s="261" t="s">
        <v>234</v>
      </c>
      <c r="D87" s="261" t="s">
        <v>237</v>
      </c>
      <c r="E87" s="261" t="s">
        <v>195</v>
      </c>
      <c r="F87" s="261" t="s">
        <v>5</v>
      </c>
      <c r="G87" s="261" t="s">
        <v>262</v>
      </c>
      <c r="H87" s="261" t="s">
        <v>6</v>
      </c>
      <c r="I87" s="261" t="s">
        <v>257</v>
      </c>
      <c r="J87" s="261">
        <v>8</v>
      </c>
    </row>
    <row r="88" spans="1:10" hidden="1" x14ac:dyDescent="0.25">
      <c r="A88" s="157">
        <v>25</v>
      </c>
      <c r="B88" s="157"/>
      <c r="C88" s="157"/>
      <c r="D88" s="157"/>
      <c r="E88" s="157"/>
      <c r="F88" s="157" t="s">
        <v>33</v>
      </c>
      <c r="G88" s="157" t="s">
        <v>324</v>
      </c>
      <c r="H88" s="157"/>
      <c r="I88" s="157"/>
      <c r="J88" s="157"/>
    </row>
    <row r="89" spans="1:10" hidden="1" x14ac:dyDescent="0.25">
      <c r="A89" s="157">
        <v>25</v>
      </c>
      <c r="B89" s="157"/>
      <c r="C89" s="157"/>
      <c r="D89" s="157"/>
      <c r="E89" s="157"/>
      <c r="F89" s="157" t="s">
        <v>162</v>
      </c>
      <c r="G89" s="157" t="s">
        <v>163</v>
      </c>
      <c r="H89" s="157"/>
      <c r="I89" s="157"/>
      <c r="J89" s="157"/>
    </row>
    <row r="90" spans="1:10" hidden="1" x14ac:dyDescent="0.25">
      <c r="A90" s="157">
        <v>25</v>
      </c>
      <c r="B90" s="157"/>
      <c r="C90" s="157"/>
      <c r="D90" s="157"/>
      <c r="E90" s="157"/>
      <c r="F90" s="157" t="s">
        <v>164</v>
      </c>
      <c r="G90" s="157" t="s">
        <v>266</v>
      </c>
      <c r="H90" s="157"/>
      <c r="I90" s="157"/>
      <c r="J90" s="157"/>
    </row>
    <row r="91" spans="1:10" x14ac:dyDescent="0.25">
      <c r="A91" s="157">
        <v>26</v>
      </c>
      <c r="B91" s="261" t="s">
        <v>238</v>
      </c>
      <c r="C91" s="261" t="s">
        <v>239</v>
      </c>
      <c r="D91" s="261" t="s">
        <v>240</v>
      </c>
      <c r="E91" s="261" t="s">
        <v>195</v>
      </c>
      <c r="F91" s="261" t="s">
        <v>5</v>
      </c>
      <c r="G91" s="261" t="s">
        <v>291</v>
      </c>
      <c r="H91" s="261" t="s">
        <v>153</v>
      </c>
      <c r="I91" s="261" t="s">
        <v>257</v>
      </c>
      <c r="J91" s="261">
        <v>30</v>
      </c>
    </row>
    <row r="92" spans="1:10" hidden="1" x14ac:dyDescent="0.25">
      <c r="A92" s="157">
        <v>26</v>
      </c>
      <c r="B92" s="157"/>
      <c r="C92" s="157"/>
      <c r="D92" s="157"/>
      <c r="E92" s="157"/>
      <c r="F92" s="157" t="s">
        <v>33</v>
      </c>
      <c r="G92" s="157" t="s">
        <v>325</v>
      </c>
      <c r="H92" s="157"/>
      <c r="I92" s="157"/>
      <c r="J92" s="157"/>
    </row>
    <row r="93" spans="1:10" hidden="1" x14ac:dyDescent="0.25">
      <c r="A93" s="157">
        <v>26</v>
      </c>
      <c r="B93" s="157"/>
      <c r="C93" s="157"/>
      <c r="D93" s="157"/>
      <c r="E93" s="157"/>
      <c r="F93" s="157" t="s">
        <v>162</v>
      </c>
      <c r="G93" s="157" t="s">
        <v>281</v>
      </c>
      <c r="H93" s="157"/>
      <c r="I93" s="157"/>
      <c r="J93" s="157"/>
    </row>
    <row r="94" spans="1:10" hidden="1" x14ac:dyDescent="0.25">
      <c r="A94" s="157">
        <v>26</v>
      </c>
      <c r="B94" s="157"/>
      <c r="C94" s="157"/>
      <c r="D94" s="157"/>
      <c r="E94" s="157"/>
      <c r="F94" s="157" t="s">
        <v>164</v>
      </c>
      <c r="G94" s="157" t="s">
        <v>275</v>
      </c>
      <c r="H94" s="157"/>
      <c r="I94" s="157"/>
      <c r="J94" s="157"/>
    </row>
    <row r="95" spans="1:10" x14ac:dyDescent="0.25">
      <c r="A95" s="157">
        <v>27</v>
      </c>
      <c r="B95" s="261" t="s">
        <v>241</v>
      </c>
      <c r="C95" s="261" t="s">
        <v>138</v>
      </c>
      <c r="D95" s="261" t="s">
        <v>152</v>
      </c>
      <c r="E95" s="261" t="s">
        <v>195</v>
      </c>
      <c r="F95" s="261" t="s">
        <v>5</v>
      </c>
      <c r="G95" s="261" t="s">
        <v>292</v>
      </c>
      <c r="H95" s="261" t="s">
        <v>6</v>
      </c>
      <c r="I95" s="261" t="s">
        <v>257</v>
      </c>
      <c r="J95" s="261">
        <v>150</v>
      </c>
    </row>
    <row r="96" spans="1:10" hidden="1" x14ac:dyDescent="0.25">
      <c r="A96" s="157"/>
      <c r="B96" s="157"/>
      <c r="C96" s="157"/>
      <c r="D96" s="157"/>
      <c r="E96" s="157"/>
      <c r="F96" s="157" t="s">
        <v>33</v>
      </c>
      <c r="G96" s="157" t="s">
        <v>326</v>
      </c>
      <c r="H96" s="157"/>
      <c r="I96" s="157"/>
      <c r="J96" s="157"/>
    </row>
    <row r="97" spans="1:10" hidden="1" x14ac:dyDescent="0.25">
      <c r="A97" s="157">
        <v>27</v>
      </c>
      <c r="B97" s="157"/>
      <c r="C97" s="157"/>
      <c r="D97" s="157"/>
      <c r="E97" s="157"/>
      <c r="F97" s="157" t="s">
        <v>162</v>
      </c>
      <c r="G97" s="158" t="s">
        <v>308</v>
      </c>
      <c r="H97" s="157"/>
      <c r="I97" s="157"/>
      <c r="J97" s="157"/>
    </row>
    <row r="98" spans="1:10" hidden="1" x14ac:dyDescent="0.25">
      <c r="A98" s="157">
        <v>27</v>
      </c>
      <c r="B98" s="157"/>
      <c r="C98" s="157"/>
      <c r="D98" s="157"/>
      <c r="E98" s="157"/>
      <c r="F98" s="157" t="s">
        <v>164</v>
      </c>
      <c r="G98" s="157" t="s">
        <v>139</v>
      </c>
      <c r="H98" s="157"/>
      <c r="I98" s="157"/>
      <c r="J98" s="157"/>
    </row>
    <row r="99" spans="1:10" x14ac:dyDescent="0.25">
      <c r="A99" s="157">
        <v>28</v>
      </c>
      <c r="B99" s="261" t="s">
        <v>242</v>
      </c>
      <c r="C99" s="261" t="s">
        <v>140</v>
      </c>
      <c r="D99" s="261" t="s">
        <v>152</v>
      </c>
      <c r="E99" s="261" t="s">
        <v>195</v>
      </c>
      <c r="F99" s="261" t="s">
        <v>5</v>
      </c>
      <c r="G99" s="261" t="s">
        <v>293</v>
      </c>
      <c r="H99" s="261" t="s">
        <v>6</v>
      </c>
      <c r="I99" s="261" t="s">
        <v>258</v>
      </c>
      <c r="J99" s="261">
        <v>400</v>
      </c>
    </row>
    <row r="100" spans="1:10" hidden="1" x14ac:dyDescent="0.25">
      <c r="A100" s="157">
        <v>28</v>
      </c>
      <c r="B100" s="157"/>
      <c r="C100" s="157"/>
      <c r="D100" s="157"/>
      <c r="E100" s="157"/>
      <c r="F100" s="157" t="s">
        <v>33</v>
      </c>
      <c r="G100" s="157" t="s">
        <v>327</v>
      </c>
      <c r="H100" s="157"/>
      <c r="I100" s="157"/>
      <c r="J100" s="157"/>
    </row>
    <row r="101" spans="1:10" hidden="1" x14ac:dyDescent="0.25">
      <c r="A101" s="157">
        <v>28</v>
      </c>
      <c r="B101" s="157"/>
      <c r="C101" s="157"/>
      <c r="D101" s="157"/>
      <c r="E101" s="157"/>
      <c r="F101" s="157" t="s">
        <v>162</v>
      </c>
      <c r="G101" s="158" t="s">
        <v>308</v>
      </c>
      <c r="H101" s="157"/>
      <c r="I101" s="157"/>
      <c r="J101" s="157"/>
    </row>
    <row r="102" spans="1:10" hidden="1" x14ac:dyDescent="0.25">
      <c r="A102" s="157">
        <v>28</v>
      </c>
      <c r="B102" s="157"/>
      <c r="C102" s="157"/>
      <c r="D102" s="157"/>
      <c r="E102" s="157"/>
      <c r="F102" s="157" t="s">
        <v>164</v>
      </c>
      <c r="G102" s="157" t="s">
        <v>139</v>
      </c>
      <c r="H102" s="157"/>
      <c r="I102" s="157"/>
      <c r="J102" s="157"/>
    </row>
    <row r="103" spans="1:10" x14ac:dyDescent="0.25">
      <c r="A103" s="157">
        <v>29</v>
      </c>
      <c r="B103" s="261" t="s">
        <v>432</v>
      </c>
      <c r="C103" s="261" t="s">
        <v>141</v>
      </c>
      <c r="D103" s="261" t="s">
        <v>151</v>
      </c>
      <c r="E103" s="261" t="s">
        <v>195</v>
      </c>
      <c r="F103" s="261" t="s">
        <v>5</v>
      </c>
      <c r="G103" s="261" t="s">
        <v>294</v>
      </c>
      <c r="H103" s="261" t="s">
        <v>6</v>
      </c>
      <c r="I103" s="261" t="s">
        <v>257</v>
      </c>
      <c r="J103" s="261">
        <v>10</v>
      </c>
    </row>
    <row r="104" spans="1:10" hidden="1" x14ac:dyDescent="0.25">
      <c r="A104" s="157">
        <v>29</v>
      </c>
      <c r="B104" s="157"/>
      <c r="C104" s="157"/>
      <c r="D104" s="157"/>
      <c r="E104" s="157"/>
      <c r="F104" s="157" t="s">
        <v>33</v>
      </c>
      <c r="G104" s="157" t="s">
        <v>328</v>
      </c>
      <c r="H104" s="157"/>
      <c r="I104" s="157"/>
      <c r="J104" s="157"/>
    </row>
    <row r="105" spans="1:10" hidden="1" x14ac:dyDescent="0.25">
      <c r="A105" s="157">
        <v>29</v>
      </c>
      <c r="B105" s="157"/>
      <c r="C105" s="157"/>
      <c r="D105" s="157"/>
      <c r="E105" s="157"/>
      <c r="F105" s="157" t="s">
        <v>162</v>
      </c>
      <c r="G105" s="157" t="s">
        <v>307</v>
      </c>
      <c r="H105" s="157"/>
      <c r="I105" s="157"/>
      <c r="J105" s="157"/>
    </row>
    <row r="106" spans="1:10" hidden="1" x14ac:dyDescent="0.25">
      <c r="A106" s="157">
        <v>29</v>
      </c>
      <c r="B106" s="157"/>
      <c r="C106" s="157"/>
      <c r="D106" s="157"/>
      <c r="E106" s="157"/>
      <c r="F106" s="157" t="s">
        <v>164</v>
      </c>
      <c r="G106" s="157" t="s">
        <v>273</v>
      </c>
      <c r="H106" s="157"/>
      <c r="I106" s="157"/>
      <c r="J106" s="157"/>
    </row>
    <row r="107" spans="1:10" hidden="1" x14ac:dyDescent="0.25">
      <c r="A107" s="157">
        <v>30</v>
      </c>
      <c r="B107" s="261" t="s">
        <v>244</v>
      </c>
      <c r="C107" s="261" t="s">
        <v>245</v>
      </c>
      <c r="D107" s="261" t="s">
        <v>204</v>
      </c>
      <c r="E107" s="261" t="s">
        <v>195</v>
      </c>
      <c r="F107" s="261" t="s">
        <v>5</v>
      </c>
      <c r="G107" s="261" t="s">
        <v>295</v>
      </c>
      <c r="H107" s="261" t="s">
        <v>6</v>
      </c>
      <c r="I107" s="261" t="s">
        <v>257</v>
      </c>
      <c r="J107" s="261">
        <v>0</v>
      </c>
    </row>
    <row r="108" spans="1:10" hidden="1" x14ac:dyDescent="0.25">
      <c r="A108" s="157">
        <v>30</v>
      </c>
      <c r="B108" s="157"/>
      <c r="C108" s="157"/>
      <c r="D108" s="157"/>
      <c r="E108" s="157"/>
      <c r="F108" s="157" t="s">
        <v>33</v>
      </c>
      <c r="G108" s="157" t="s">
        <v>329</v>
      </c>
      <c r="H108" s="157"/>
      <c r="I108" s="157"/>
      <c r="J108" s="157"/>
    </row>
    <row r="109" spans="1:10" hidden="1" x14ac:dyDescent="0.25">
      <c r="A109" s="157">
        <v>30</v>
      </c>
      <c r="B109" s="157"/>
      <c r="C109" s="157"/>
      <c r="D109" s="157"/>
      <c r="E109" s="157"/>
      <c r="F109" s="157" t="s">
        <v>162</v>
      </c>
      <c r="G109" s="157" t="s">
        <v>309</v>
      </c>
      <c r="H109" s="157"/>
      <c r="I109" s="157"/>
      <c r="J109" s="157"/>
    </row>
    <row r="110" spans="1:10" hidden="1" x14ac:dyDescent="0.25">
      <c r="A110" s="157">
        <v>30</v>
      </c>
      <c r="B110" s="157"/>
      <c r="C110" s="157"/>
      <c r="D110" s="157"/>
      <c r="E110" s="157"/>
      <c r="F110" s="157" t="s">
        <v>164</v>
      </c>
      <c r="G110" s="157" t="s">
        <v>276</v>
      </c>
      <c r="H110" s="157"/>
      <c r="I110" s="157"/>
      <c r="J110" s="157"/>
    </row>
    <row r="111" spans="1:10" x14ac:dyDescent="0.25">
      <c r="A111" s="157">
        <v>31</v>
      </c>
      <c r="B111" s="261" t="s">
        <v>246</v>
      </c>
      <c r="C111" s="261" t="s">
        <v>247</v>
      </c>
      <c r="D111" s="261" t="s">
        <v>152</v>
      </c>
      <c r="E111" s="261" t="s">
        <v>195</v>
      </c>
      <c r="F111" s="261" t="s">
        <v>5</v>
      </c>
      <c r="G111" s="261" t="s">
        <v>280</v>
      </c>
      <c r="H111" s="261" t="s">
        <v>153</v>
      </c>
      <c r="I111" s="261" t="s">
        <v>257</v>
      </c>
      <c r="J111" s="261">
        <v>5</v>
      </c>
    </row>
    <row r="112" spans="1:10" hidden="1" x14ac:dyDescent="0.25">
      <c r="A112" s="157">
        <v>31</v>
      </c>
      <c r="B112" s="157"/>
      <c r="C112" s="157"/>
      <c r="D112" s="157"/>
      <c r="E112" s="157"/>
      <c r="F112" s="157" t="s">
        <v>162</v>
      </c>
      <c r="G112" s="157" t="s">
        <v>281</v>
      </c>
      <c r="H112" s="157"/>
      <c r="I112" s="157"/>
      <c r="J112" s="157"/>
    </row>
    <row r="113" spans="1:10" hidden="1" x14ac:dyDescent="0.25">
      <c r="A113" s="157">
        <v>31</v>
      </c>
      <c r="B113" s="157"/>
      <c r="C113" s="157"/>
      <c r="D113" s="157"/>
      <c r="E113" s="157"/>
      <c r="F113" s="157" t="s">
        <v>164</v>
      </c>
      <c r="G113" s="157" t="s">
        <v>277</v>
      </c>
      <c r="H113" s="157"/>
      <c r="I113" s="157"/>
      <c r="J113" s="157"/>
    </row>
    <row r="114" spans="1:10" x14ac:dyDescent="0.25">
      <c r="A114" s="157">
        <v>32</v>
      </c>
      <c r="B114" s="261" t="s">
        <v>343</v>
      </c>
      <c r="C114" s="261" t="s">
        <v>344</v>
      </c>
      <c r="D114" s="261" t="s">
        <v>345</v>
      </c>
      <c r="E114" s="261" t="s">
        <v>195</v>
      </c>
      <c r="F114" s="261" t="s">
        <v>5</v>
      </c>
      <c r="G114" s="261" t="s">
        <v>372</v>
      </c>
      <c r="H114" s="261" t="s">
        <v>153</v>
      </c>
      <c r="I114" s="261" t="s">
        <v>346</v>
      </c>
      <c r="J114" s="261">
        <v>6</v>
      </c>
    </row>
    <row r="115" spans="1:10" hidden="1" x14ac:dyDescent="0.25">
      <c r="A115" s="157">
        <v>32</v>
      </c>
      <c r="B115" s="157"/>
      <c r="C115" s="157"/>
      <c r="D115" s="157"/>
      <c r="E115" s="157"/>
      <c r="F115" s="157" t="s">
        <v>33</v>
      </c>
      <c r="G115" s="157" t="s">
        <v>373</v>
      </c>
      <c r="H115" s="157"/>
      <c r="I115" s="157"/>
      <c r="J115" s="157"/>
    </row>
    <row r="116" spans="1:10" hidden="1" x14ac:dyDescent="0.25">
      <c r="A116" s="157">
        <v>32</v>
      </c>
      <c r="B116" s="157"/>
      <c r="C116" s="157"/>
      <c r="D116" s="157"/>
      <c r="E116" s="157"/>
      <c r="F116" s="157" t="s">
        <v>164</v>
      </c>
      <c r="G116" s="157" t="s">
        <v>397</v>
      </c>
      <c r="H116" s="157"/>
      <c r="I116" s="157"/>
      <c r="J116" s="157"/>
    </row>
    <row r="117" spans="1:10" x14ac:dyDescent="0.25">
      <c r="A117" s="157">
        <v>33</v>
      </c>
      <c r="B117" s="261" t="s">
        <v>347</v>
      </c>
      <c r="C117" s="261" t="s">
        <v>348</v>
      </c>
      <c r="D117" s="261" t="s">
        <v>204</v>
      </c>
      <c r="E117" s="261" t="s">
        <v>195</v>
      </c>
      <c r="F117" s="261" t="s">
        <v>5</v>
      </c>
      <c r="G117" s="261" t="s">
        <v>374</v>
      </c>
      <c r="H117" s="261" t="s">
        <v>85</v>
      </c>
      <c r="I117" s="261" t="s">
        <v>349</v>
      </c>
      <c r="J117" s="261">
        <v>3</v>
      </c>
    </row>
    <row r="118" spans="1:10" hidden="1" x14ac:dyDescent="0.25">
      <c r="A118" s="157">
        <v>33</v>
      </c>
      <c r="B118" s="157"/>
      <c r="C118" s="157"/>
      <c r="D118" s="157"/>
      <c r="E118" s="157"/>
      <c r="F118" s="157" t="s">
        <v>33</v>
      </c>
      <c r="G118" s="157" t="s">
        <v>375</v>
      </c>
      <c r="H118" s="157"/>
      <c r="I118" s="157"/>
      <c r="J118" s="157"/>
    </row>
    <row r="119" spans="1:10" hidden="1" x14ac:dyDescent="0.25">
      <c r="A119" s="157">
        <v>33</v>
      </c>
      <c r="B119" s="157"/>
      <c r="C119" s="157"/>
      <c r="D119" s="157"/>
      <c r="E119" s="157"/>
      <c r="F119" s="157" t="s">
        <v>164</v>
      </c>
      <c r="G119" s="157" t="s">
        <v>396</v>
      </c>
      <c r="H119" s="157"/>
      <c r="I119" s="157"/>
      <c r="J119" s="157"/>
    </row>
    <row r="120" spans="1:10" x14ac:dyDescent="0.25">
      <c r="A120" s="157">
        <v>34</v>
      </c>
      <c r="B120" s="261" t="s">
        <v>350</v>
      </c>
      <c r="C120" s="261" t="s">
        <v>351</v>
      </c>
      <c r="D120" s="261" t="s">
        <v>204</v>
      </c>
      <c r="E120" s="261" t="s">
        <v>195</v>
      </c>
      <c r="F120" s="261" t="s">
        <v>5</v>
      </c>
      <c r="G120" s="261" t="s">
        <v>377</v>
      </c>
      <c r="H120" s="261" t="s">
        <v>85</v>
      </c>
      <c r="I120" s="261" t="s">
        <v>349</v>
      </c>
      <c r="J120" s="261">
        <v>3</v>
      </c>
    </row>
    <row r="121" spans="1:10" hidden="1" x14ac:dyDescent="0.25">
      <c r="A121" s="157">
        <v>34</v>
      </c>
      <c r="B121" s="157"/>
      <c r="C121" s="157"/>
      <c r="D121" s="157"/>
      <c r="E121" s="157"/>
      <c r="F121" s="157" t="s">
        <v>33</v>
      </c>
      <c r="G121" s="157" t="s">
        <v>378</v>
      </c>
      <c r="H121" s="157"/>
      <c r="I121" s="157"/>
      <c r="J121" s="157"/>
    </row>
    <row r="122" spans="1:10" hidden="1" x14ac:dyDescent="0.25">
      <c r="A122" s="157">
        <v>34</v>
      </c>
      <c r="B122" s="157"/>
      <c r="C122" s="157"/>
      <c r="D122" s="157"/>
      <c r="E122" s="157"/>
      <c r="F122" s="157" t="s">
        <v>164</v>
      </c>
      <c r="G122" s="157" t="s">
        <v>396</v>
      </c>
      <c r="H122" s="157"/>
      <c r="I122" s="157"/>
      <c r="J122" s="157"/>
    </row>
    <row r="123" spans="1:10" x14ac:dyDescent="0.25">
      <c r="A123" s="157">
        <v>35</v>
      </c>
      <c r="B123" s="261" t="s">
        <v>352</v>
      </c>
      <c r="C123" s="261" t="s">
        <v>353</v>
      </c>
      <c r="D123" s="261" t="s">
        <v>204</v>
      </c>
      <c r="E123" s="261" t="s">
        <v>195</v>
      </c>
      <c r="F123" s="261" t="s">
        <v>5</v>
      </c>
      <c r="G123" s="261" t="s">
        <v>379</v>
      </c>
      <c r="H123" s="261" t="s">
        <v>6</v>
      </c>
      <c r="I123" s="261" t="s">
        <v>346</v>
      </c>
      <c r="J123" s="261">
        <v>5</v>
      </c>
    </row>
    <row r="124" spans="1:10" hidden="1" x14ac:dyDescent="0.25">
      <c r="A124" s="157">
        <v>35</v>
      </c>
      <c r="B124" s="157"/>
      <c r="C124" s="157"/>
      <c r="D124" s="157"/>
      <c r="E124" s="157"/>
      <c r="F124" s="157" t="s">
        <v>162</v>
      </c>
      <c r="G124" s="157" t="s">
        <v>380</v>
      </c>
      <c r="H124" s="157"/>
      <c r="I124" s="157"/>
      <c r="J124" s="157"/>
    </row>
    <row r="125" spans="1:10" hidden="1" x14ac:dyDescent="0.25">
      <c r="A125" s="157">
        <v>35</v>
      </c>
      <c r="B125" s="157"/>
      <c r="C125" s="157"/>
      <c r="D125" s="157"/>
      <c r="E125" s="157"/>
      <c r="F125" s="157" t="s">
        <v>33</v>
      </c>
      <c r="G125" s="157" t="s">
        <v>395</v>
      </c>
      <c r="H125" s="157"/>
      <c r="I125" s="157"/>
      <c r="J125" s="157"/>
    </row>
    <row r="126" spans="1:10" hidden="1" x14ac:dyDescent="0.25">
      <c r="A126" s="157">
        <v>35</v>
      </c>
      <c r="B126" s="157"/>
      <c r="C126" s="157"/>
      <c r="D126" s="157"/>
      <c r="E126" s="157"/>
      <c r="F126" s="157" t="s">
        <v>164</v>
      </c>
      <c r="G126" s="157" t="s">
        <v>139</v>
      </c>
      <c r="H126" s="157"/>
      <c r="I126" s="157"/>
      <c r="J126" s="157"/>
    </row>
    <row r="127" spans="1:10" x14ac:dyDescent="0.25">
      <c r="A127" s="157">
        <v>36</v>
      </c>
      <c r="B127" s="261" t="s">
        <v>354</v>
      </c>
      <c r="C127" s="261" t="s">
        <v>355</v>
      </c>
      <c r="D127" s="261" t="s">
        <v>232</v>
      </c>
      <c r="E127" s="261" t="s">
        <v>195</v>
      </c>
      <c r="F127" s="261" t="s">
        <v>5</v>
      </c>
      <c r="G127" s="261" t="s">
        <v>381</v>
      </c>
      <c r="H127" s="261" t="s">
        <v>6</v>
      </c>
      <c r="I127" s="261" t="s">
        <v>346</v>
      </c>
      <c r="J127" s="261">
        <v>3</v>
      </c>
    </row>
    <row r="128" spans="1:10" hidden="1" x14ac:dyDescent="0.25">
      <c r="A128" s="157">
        <v>36</v>
      </c>
      <c r="B128" s="157"/>
      <c r="C128" s="157"/>
      <c r="D128" s="157"/>
      <c r="E128" s="157"/>
      <c r="F128" s="157" t="s">
        <v>162</v>
      </c>
      <c r="G128" s="157" t="s">
        <v>382</v>
      </c>
      <c r="H128" s="157"/>
      <c r="I128" s="157"/>
      <c r="J128" s="157"/>
    </row>
    <row r="129" spans="1:10" hidden="1" x14ac:dyDescent="0.25">
      <c r="A129" s="157">
        <v>36</v>
      </c>
      <c r="B129" s="157"/>
      <c r="C129" s="157"/>
      <c r="D129" s="157"/>
      <c r="E129" s="157"/>
      <c r="F129" s="157" t="s">
        <v>164</v>
      </c>
      <c r="G129" s="157" t="s">
        <v>127</v>
      </c>
      <c r="H129" s="157"/>
      <c r="I129" s="157"/>
      <c r="J129" s="157"/>
    </row>
    <row r="130" spans="1:10" x14ac:dyDescent="0.25">
      <c r="A130" s="157">
        <v>37</v>
      </c>
      <c r="B130" s="261" t="s">
        <v>356</v>
      </c>
      <c r="C130" s="261" t="s">
        <v>357</v>
      </c>
      <c r="D130" s="261" t="s">
        <v>358</v>
      </c>
      <c r="E130" s="261" t="s">
        <v>195</v>
      </c>
      <c r="F130" s="261" t="s">
        <v>5</v>
      </c>
      <c r="G130" s="261" t="s">
        <v>383</v>
      </c>
      <c r="H130" s="261" t="s">
        <v>6</v>
      </c>
      <c r="I130" s="261" t="s">
        <v>359</v>
      </c>
      <c r="J130" s="261">
        <v>5</v>
      </c>
    </row>
    <row r="131" spans="1:10" hidden="1" x14ac:dyDescent="0.25">
      <c r="A131" s="157">
        <v>37</v>
      </c>
      <c r="B131" s="157"/>
      <c r="C131" s="157"/>
      <c r="D131" s="157"/>
      <c r="E131" s="157"/>
      <c r="F131" s="157" t="s">
        <v>162</v>
      </c>
      <c r="G131" s="157" t="s">
        <v>384</v>
      </c>
      <c r="H131" s="157"/>
      <c r="I131" s="157"/>
      <c r="J131" s="157"/>
    </row>
    <row r="132" spans="1:10" hidden="1" x14ac:dyDescent="0.25">
      <c r="A132" s="157">
        <v>37</v>
      </c>
      <c r="B132" s="157"/>
      <c r="C132" s="157"/>
      <c r="D132" s="157"/>
      <c r="E132" s="157"/>
      <c r="F132" s="157" t="s">
        <v>33</v>
      </c>
      <c r="G132" s="157" t="s">
        <v>263</v>
      </c>
      <c r="H132" s="157"/>
      <c r="I132" s="157"/>
      <c r="J132" s="157"/>
    </row>
    <row r="133" spans="1:10" hidden="1" x14ac:dyDescent="0.25">
      <c r="A133" s="157">
        <v>37</v>
      </c>
      <c r="B133" s="157"/>
      <c r="C133" s="157"/>
      <c r="D133" s="157"/>
      <c r="E133" s="157"/>
      <c r="F133" s="157" t="s">
        <v>164</v>
      </c>
      <c r="G133" s="157" t="s">
        <v>394</v>
      </c>
      <c r="H133" s="157"/>
      <c r="I133" s="157"/>
      <c r="J133" s="157"/>
    </row>
    <row r="134" spans="1:10" x14ac:dyDescent="0.25">
      <c r="A134" s="157">
        <v>38</v>
      </c>
      <c r="B134" s="261" t="s">
        <v>360</v>
      </c>
      <c r="C134" s="261" t="s">
        <v>361</v>
      </c>
      <c r="D134" s="261" t="s">
        <v>232</v>
      </c>
      <c r="E134" s="261" t="s">
        <v>195</v>
      </c>
      <c r="F134" s="261" t="s">
        <v>5</v>
      </c>
      <c r="G134" s="261" t="s">
        <v>385</v>
      </c>
      <c r="H134" s="261" t="s">
        <v>6</v>
      </c>
      <c r="I134" s="261" t="s">
        <v>346</v>
      </c>
      <c r="J134" s="261">
        <v>3</v>
      </c>
    </row>
    <row r="135" spans="1:10" hidden="1" x14ac:dyDescent="0.25">
      <c r="A135" s="157">
        <v>38</v>
      </c>
      <c r="B135" s="157"/>
      <c r="C135" s="157"/>
      <c r="D135" s="157"/>
      <c r="E135" s="157"/>
      <c r="F135" s="157" t="s">
        <v>162</v>
      </c>
      <c r="G135" s="157" t="s">
        <v>384</v>
      </c>
      <c r="H135" s="157"/>
      <c r="I135" s="157"/>
      <c r="J135" s="157"/>
    </row>
    <row r="136" spans="1:10" hidden="1" x14ac:dyDescent="0.25">
      <c r="A136" s="157">
        <v>38</v>
      </c>
      <c r="B136" s="157"/>
      <c r="C136" s="157"/>
      <c r="D136" s="157"/>
      <c r="E136" s="157"/>
      <c r="F136" s="157" t="s">
        <v>164</v>
      </c>
      <c r="G136" s="157" t="s">
        <v>393</v>
      </c>
      <c r="H136" s="157"/>
      <c r="I136" s="157"/>
      <c r="J136" s="157"/>
    </row>
    <row r="137" spans="1:10" x14ac:dyDescent="0.25">
      <c r="A137" s="157">
        <v>39</v>
      </c>
      <c r="B137" s="261" t="s">
        <v>362</v>
      </c>
      <c r="C137" s="261" t="s">
        <v>363</v>
      </c>
      <c r="D137" s="261" t="s">
        <v>364</v>
      </c>
      <c r="E137" s="261" t="s">
        <v>195</v>
      </c>
      <c r="F137" s="261" t="s">
        <v>5</v>
      </c>
      <c r="G137" s="261" t="s">
        <v>385</v>
      </c>
      <c r="H137" s="261" t="s">
        <v>6</v>
      </c>
      <c r="I137" s="261" t="s">
        <v>346</v>
      </c>
      <c r="J137" s="261">
        <v>3</v>
      </c>
    </row>
    <row r="138" spans="1:10" hidden="1" x14ac:dyDescent="0.25">
      <c r="A138" s="157">
        <v>39</v>
      </c>
      <c r="B138" s="157"/>
      <c r="C138" s="157"/>
      <c r="D138" s="157"/>
      <c r="E138" s="157"/>
      <c r="F138" s="157" t="s">
        <v>162</v>
      </c>
      <c r="G138" s="157" t="s">
        <v>384</v>
      </c>
      <c r="H138" s="157"/>
      <c r="I138" s="157"/>
      <c r="J138" s="157"/>
    </row>
    <row r="139" spans="1:10" hidden="1" x14ac:dyDescent="0.25">
      <c r="A139" s="157">
        <v>39</v>
      </c>
      <c r="B139" s="157"/>
      <c r="C139" s="157"/>
      <c r="D139" s="157"/>
      <c r="E139" s="157"/>
      <c r="F139" s="157" t="s">
        <v>164</v>
      </c>
      <c r="G139" s="157" t="s">
        <v>393</v>
      </c>
      <c r="H139" s="157"/>
      <c r="I139" s="157"/>
      <c r="J139" s="157"/>
    </row>
    <row r="140" spans="1:10" x14ac:dyDescent="0.25">
      <c r="A140" s="157">
        <v>40</v>
      </c>
      <c r="B140" s="261" t="s">
        <v>365</v>
      </c>
      <c r="C140" s="261" t="s">
        <v>366</v>
      </c>
      <c r="D140" s="261" t="s">
        <v>367</v>
      </c>
      <c r="E140" s="261" t="s">
        <v>195</v>
      </c>
      <c r="F140" s="261" t="s">
        <v>5</v>
      </c>
      <c r="G140" s="261" t="s">
        <v>381</v>
      </c>
      <c r="H140" s="261" t="s">
        <v>153</v>
      </c>
      <c r="I140" s="261" t="s">
        <v>346</v>
      </c>
      <c r="J140" s="261">
        <v>2</v>
      </c>
    </row>
    <row r="141" spans="1:10" hidden="1" x14ac:dyDescent="0.25">
      <c r="A141" s="157">
        <v>40</v>
      </c>
      <c r="B141" s="157"/>
      <c r="C141" s="157"/>
      <c r="D141" s="157"/>
      <c r="E141" s="157"/>
      <c r="F141" s="157" t="s">
        <v>162</v>
      </c>
      <c r="G141" s="157" t="s">
        <v>382</v>
      </c>
      <c r="H141" s="157"/>
      <c r="I141" s="157"/>
      <c r="J141" s="157"/>
    </row>
    <row r="142" spans="1:10" hidden="1" x14ac:dyDescent="0.25">
      <c r="A142" s="157">
        <v>40</v>
      </c>
      <c r="B142" s="157"/>
      <c r="C142" s="157"/>
      <c r="D142" s="157"/>
      <c r="E142" s="157"/>
      <c r="F142" s="157" t="s">
        <v>33</v>
      </c>
      <c r="G142" s="157" t="s">
        <v>386</v>
      </c>
      <c r="H142" s="157"/>
      <c r="I142" s="157"/>
      <c r="J142" s="157"/>
    </row>
    <row r="143" spans="1:10" hidden="1" x14ac:dyDescent="0.25">
      <c r="A143" s="157">
        <v>40</v>
      </c>
      <c r="B143" s="157"/>
      <c r="C143" s="157"/>
      <c r="D143" s="157"/>
      <c r="E143" s="157"/>
      <c r="F143" s="157" t="s">
        <v>164</v>
      </c>
      <c r="G143" s="157" t="s">
        <v>392</v>
      </c>
      <c r="H143" s="157"/>
      <c r="I143" s="157"/>
      <c r="J143" s="157"/>
    </row>
    <row r="144" spans="1:10" x14ac:dyDescent="0.25">
      <c r="A144" s="157">
        <v>41</v>
      </c>
      <c r="B144" s="261" t="s">
        <v>416</v>
      </c>
      <c r="C144" s="261" t="s">
        <v>368</v>
      </c>
      <c r="D144" s="261" t="s">
        <v>369</v>
      </c>
      <c r="E144" s="261" t="s">
        <v>195</v>
      </c>
      <c r="F144" s="261" t="s">
        <v>5</v>
      </c>
      <c r="G144" s="261" t="s">
        <v>387</v>
      </c>
      <c r="H144" s="261" t="s">
        <v>6</v>
      </c>
      <c r="I144" s="261" t="s">
        <v>346</v>
      </c>
      <c r="J144" s="261">
        <v>4</v>
      </c>
    </row>
    <row r="145" spans="1:10" hidden="1" x14ac:dyDescent="0.25">
      <c r="A145" s="157">
        <v>41</v>
      </c>
      <c r="B145" s="157"/>
      <c r="C145" s="157"/>
      <c r="D145" s="157"/>
      <c r="E145" s="157"/>
      <c r="F145" s="157" t="s">
        <v>162</v>
      </c>
      <c r="G145" s="157" t="s">
        <v>384</v>
      </c>
      <c r="H145" s="157"/>
      <c r="I145" s="157"/>
      <c r="J145" s="157"/>
    </row>
    <row r="146" spans="1:10" hidden="1" x14ac:dyDescent="0.25">
      <c r="A146" s="157">
        <v>41</v>
      </c>
      <c r="B146" s="157"/>
      <c r="C146" s="157"/>
      <c r="D146" s="157"/>
      <c r="E146" s="157"/>
      <c r="F146" s="157" t="s">
        <v>33</v>
      </c>
      <c r="G146" s="157" t="s">
        <v>391</v>
      </c>
      <c r="H146" s="157"/>
      <c r="I146" s="157"/>
      <c r="J146" s="157"/>
    </row>
    <row r="147" spans="1:10" hidden="1" x14ac:dyDescent="0.25">
      <c r="A147" s="157">
        <v>41</v>
      </c>
      <c r="B147" s="157"/>
      <c r="C147" s="157"/>
      <c r="D147" s="157"/>
      <c r="E147" s="157"/>
      <c r="F147" s="157" t="s">
        <v>164</v>
      </c>
      <c r="G147" s="157" t="s">
        <v>390</v>
      </c>
      <c r="H147" s="157"/>
      <c r="I147" s="157"/>
      <c r="J147" s="157"/>
    </row>
    <row r="148" spans="1:10" x14ac:dyDescent="0.25">
      <c r="A148" s="157">
        <v>42</v>
      </c>
      <c r="B148" s="261" t="s">
        <v>417</v>
      </c>
      <c r="C148" s="261" t="s">
        <v>368</v>
      </c>
      <c r="D148" s="261" t="s">
        <v>369</v>
      </c>
      <c r="E148" s="261" t="s">
        <v>195</v>
      </c>
      <c r="F148" s="261" t="s">
        <v>5</v>
      </c>
      <c r="G148" s="261" t="s">
        <v>388</v>
      </c>
      <c r="H148" s="261" t="s">
        <v>6</v>
      </c>
      <c r="I148" s="261" t="s">
        <v>346</v>
      </c>
      <c r="J148" s="261">
        <v>2</v>
      </c>
    </row>
    <row r="149" spans="1:10" hidden="1" x14ac:dyDescent="0.25">
      <c r="A149" s="157">
        <v>42</v>
      </c>
      <c r="B149" s="157"/>
      <c r="C149" s="157"/>
      <c r="D149" s="157"/>
      <c r="E149" s="157"/>
      <c r="F149" s="157" t="s">
        <v>162</v>
      </c>
      <c r="G149" s="157" t="s">
        <v>384</v>
      </c>
      <c r="H149" s="157"/>
      <c r="I149" s="157"/>
      <c r="J149" s="157"/>
    </row>
    <row r="150" spans="1:10" hidden="1" x14ac:dyDescent="0.25">
      <c r="A150" s="157">
        <v>42</v>
      </c>
      <c r="B150" s="157"/>
      <c r="C150" s="157"/>
      <c r="D150" s="157"/>
      <c r="E150" s="157"/>
      <c r="F150" s="157" t="s">
        <v>33</v>
      </c>
      <c r="G150" s="157" t="s">
        <v>389</v>
      </c>
      <c r="H150" s="157"/>
      <c r="I150" s="157"/>
      <c r="J150" s="157"/>
    </row>
    <row r="151" spans="1:10" hidden="1" x14ac:dyDescent="0.25">
      <c r="A151" s="157">
        <v>42</v>
      </c>
      <c r="B151" s="157"/>
      <c r="C151" s="157"/>
      <c r="D151" s="157"/>
      <c r="E151" s="157"/>
      <c r="F151" s="157" t="s">
        <v>164</v>
      </c>
      <c r="G151" s="157" t="s">
        <v>390</v>
      </c>
      <c r="H151" s="157"/>
      <c r="I151" s="157"/>
      <c r="J151" s="157"/>
    </row>
    <row r="152" spans="1:10" x14ac:dyDescent="0.25">
      <c r="A152" s="157">
        <v>43</v>
      </c>
      <c r="B152" s="261" t="s">
        <v>370</v>
      </c>
      <c r="C152" s="261" t="s">
        <v>371</v>
      </c>
      <c r="D152" s="261" t="s">
        <v>193</v>
      </c>
      <c r="E152" s="261" t="s">
        <v>195</v>
      </c>
      <c r="F152" s="261" t="s">
        <v>5</v>
      </c>
      <c r="G152" s="261" t="s">
        <v>374</v>
      </c>
      <c r="H152" s="261" t="s">
        <v>85</v>
      </c>
      <c r="I152" s="261" t="s">
        <v>349</v>
      </c>
      <c r="J152" s="261">
        <v>6</v>
      </c>
    </row>
    <row r="153" spans="1:10" hidden="1" x14ac:dyDescent="0.25">
      <c r="A153" s="157">
        <v>43</v>
      </c>
      <c r="B153" s="157"/>
      <c r="C153" s="157"/>
      <c r="D153" s="157"/>
      <c r="E153" s="157"/>
      <c r="F153" s="157" t="s">
        <v>33</v>
      </c>
      <c r="G153" s="157" t="s">
        <v>317</v>
      </c>
      <c r="H153" s="157"/>
      <c r="I153" s="157"/>
      <c r="J153" s="157"/>
    </row>
    <row r="154" spans="1:10" hidden="1" x14ac:dyDescent="0.25">
      <c r="A154" s="157">
        <v>43</v>
      </c>
      <c r="B154" s="157"/>
      <c r="C154" s="157"/>
      <c r="D154" s="157"/>
      <c r="E154" s="157"/>
      <c r="F154" s="157" t="s">
        <v>164</v>
      </c>
      <c r="G154" s="157" t="s">
        <v>376</v>
      </c>
      <c r="H154" s="157"/>
      <c r="I154" s="157"/>
      <c r="J154" s="157"/>
    </row>
  </sheetData>
  <autoFilter ref="A1:J154" xr:uid="{A98F2044-079C-4FA8-8220-A62C361E6F62}">
    <filterColumn colId="1">
      <customFilters>
        <customFilter operator="notEqual" val=" "/>
      </customFilters>
    </filterColumn>
    <filterColumn colId="9">
      <filters blank="1">
        <filter val="10"/>
        <filter val="150"/>
        <filter val="2"/>
        <filter val="20"/>
        <filter val="230"/>
        <filter val="3"/>
        <filter val="30"/>
        <filter val="336"/>
        <filter val="4"/>
        <filter val="400"/>
        <filter val="5"/>
        <filter val="6"/>
        <filter val="7"/>
        <filter val="8"/>
      </filters>
    </filterColumn>
  </autoFilter>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212D-2278-4E2A-8093-8348AEAD0D65}">
  <dimension ref="A1:E43"/>
  <sheetViews>
    <sheetView topLeftCell="A22" workbookViewId="0">
      <selection activeCell="E1" sqref="E1"/>
    </sheetView>
  </sheetViews>
  <sheetFormatPr defaultRowHeight="15" x14ac:dyDescent="0.25"/>
  <sheetData>
    <row r="1" spans="1:5" x14ac:dyDescent="0.25">
      <c r="A1" t="s">
        <v>194</v>
      </c>
      <c r="B1" t="s">
        <v>120</v>
      </c>
      <c r="C1" t="s">
        <v>144</v>
      </c>
      <c r="D1" t="b">
        <f>C1=E1</f>
        <v>1</v>
      </c>
      <c r="E1" t="s">
        <v>144</v>
      </c>
    </row>
    <row r="2" spans="1:5" x14ac:dyDescent="0.25">
      <c r="A2" t="s">
        <v>196</v>
      </c>
      <c r="B2" t="s">
        <v>84</v>
      </c>
      <c r="C2" t="s">
        <v>143</v>
      </c>
      <c r="D2" t="b">
        <f t="shared" ref="D2:D43" si="0">C2=E2</f>
        <v>1</v>
      </c>
      <c r="E2" t="s">
        <v>143</v>
      </c>
    </row>
    <row r="3" spans="1:5" x14ac:dyDescent="0.25">
      <c r="A3" t="s">
        <v>197</v>
      </c>
      <c r="B3" t="s">
        <v>198</v>
      </c>
      <c r="C3" t="s">
        <v>199</v>
      </c>
      <c r="D3" t="b">
        <f t="shared" si="0"/>
        <v>1</v>
      </c>
      <c r="E3" t="s">
        <v>199</v>
      </c>
    </row>
    <row r="4" spans="1:5" x14ac:dyDescent="0.25">
      <c r="A4" t="s">
        <v>200</v>
      </c>
      <c r="B4" t="s">
        <v>201</v>
      </c>
      <c r="C4" t="s">
        <v>193</v>
      </c>
      <c r="D4" t="b">
        <f t="shared" si="0"/>
        <v>1</v>
      </c>
      <c r="E4" t="s">
        <v>193</v>
      </c>
    </row>
    <row r="5" spans="1:5" x14ac:dyDescent="0.25">
      <c r="A5" t="s">
        <v>202</v>
      </c>
      <c r="B5" t="s">
        <v>203</v>
      </c>
      <c r="C5" t="s">
        <v>204</v>
      </c>
      <c r="D5" t="b">
        <f t="shared" si="0"/>
        <v>0</v>
      </c>
    </row>
    <row r="6" spans="1:5" x14ac:dyDescent="0.25">
      <c r="A6" t="s">
        <v>205</v>
      </c>
      <c r="B6" t="s">
        <v>122</v>
      </c>
      <c r="C6" t="s">
        <v>146</v>
      </c>
      <c r="D6" t="b">
        <f t="shared" si="0"/>
        <v>1</v>
      </c>
      <c r="E6" t="s">
        <v>146</v>
      </c>
    </row>
    <row r="7" spans="1:5" x14ac:dyDescent="0.25">
      <c r="A7" t="s">
        <v>206</v>
      </c>
      <c r="B7" t="s">
        <v>123</v>
      </c>
      <c r="C7" t="s">
        <v>147</v>
      </c>
      <c r="D7" t="b">
        <f t="shared" si="0"/>
        <v>1</v>
      </c>
      <c r="E7" t="s">
        <v>147</v>
      </c>
    </row>
    <row r="8" spans="1:5" x14ac:dyDescent="0.25">
      <c r="A8" t="s">
        <v>207</v>
      </c>
      <c r="B8" t="s">
        <v>124</v>
      </c>
      <c r="C8" t="s">
        <v>148</v>
      </c>
      <c r="D8" t="b">
        <f t="shared" si="0"/>
        <v>1</v>
      </c>
      <c r="E8" t="s">
        <v>148</v>
      </c>
    </row>
    <row r="9" spans="1:5" x14ac:dyDescent="0.25">
      <c r="A9" t="s">
        <v>208</v>
      </c>
      <c r="B9" t="s">
        <v>126</v>
      </c>
      <c r="C9" t="s">
        <v>149</v>
      </c>
      <c r="D9" t="b">
        <f t="shared" si="0"/>
        <v>1</v>
      </c>
      <c r="E9" t="s">
        <v>149</v>
      </c>
    </row>
    <row r="10" spans="1:5" x14ac:dyDescent="0.25">
      <c r="A10" t="s">
        <v>209</v>
      </c>
      <c r="B10" t="s">
        <v>210</v>
      </c>
      <c r="C10" t="s">
        <v>149</v>
      </c>
      <c r="D10" t="b">
        <f t="shared" si="0"/>
        <v>1</v>
      </c>
      <c r="E10" t="s">
        <v>149</v>
      </c>
    </row>
    <row r="11" spans="1:5" x14ac:dyDescent="0.25">
      <c r="A11" t="s">
        <v>211</v>
      </c>
      <c r="B11" t="s">
        <v>212</v>
      </c>
      <c r="C11" t="s">
        <v>213</v>
      </c>
      <c r="D11" t="b">
        <f t="shared" si="0"/>
        <v>0</v>
      </c>
    </row>
    <row r="12" spans="1:5" x14ac:dyDescent="0.25">
      <c r="A12" t="s">
        <v>214</v>
      </c>
      <c r="B12" t="s">
        <v>215</v>
      </c>
      <c r="C12" t="s">
        <v>143</v>
      </c>
      <c r="D12" t="b">
        <f t="shared" si="0"/>
        <v>1</v>
      </c>
      <c r="E12" t="s">
        <v>143</v>
      </c>
    </row>
    <row r="13" spans="1:5" x14ac:dyDescent="0.25">
      <c r="A13" t="s">
        <v>216</v>
      </c>
      <c r="B13" t="s">
        <v>131</v>
      </c>
      <c r="C13" t="s">
        <v>146</v>
      </c>
      <c r="D13" t="b">
        <f t="shared" si="0"/>
        <v>1</v>
      </c>
      <c r="E13" t="s">
        <v>146</v>
      </c>
    </row>
    <row r="14" spans="1:5" x14ac:dyDescent="0.25">
      <c r="A14" t="s">
        <v>157</v>
      </c>
      <c r="B14" t="s">
        <v>158</v>
      </c>
      <c r="C14" t="s">
        <v>192</v>
      </c>
      <c r="D14" t="b">
        <f t="shared" si="0"/>
        <v>1</v>
      </c>
      <c r="E14" t="s">
        <v>192</v>
      </c>
    </row>
    <row r="15" spans="1:5" x14ac:dyDescent="0.25">
      <c r="A15" t="s">
        <v>217</v>
      </c>
      <c r="B15" t="s">
        <v>218</v>
      </c>
      <c r="C15" t="s">
        <v>150</v>
      </c>
      <c r="D15" t="b">
        <f t="shared" si="0"/>
        <v>1</v>
      </c>
      <c r="E15" t="s">
        <v>150</v>
      </c>
    </row>
    <row r="16" spans="1:5" x14ac:dyDescent="0.25">
      <c r="A16" t="s">
        <v>219</v>
      </c>
      <c r="B16" t="s">
        <v>220</v>
      </c>
      <c r="C16" t="s">
        <v>221</v>
      </c>
      <c r="D16" t="b">
        <f t="shared" si="0"/>
        <v>1</v>
      </c>
      <c r="E16" t="s">
        <v>221</v>
      </c>
    </row>
    <row r="17" spans="1:5" x14ac:dyDescent="0.25">
      <c r="A17" t="s">
        <v>404</v>
      </c>
      <c r="B17" t="s">
        <v>134</v>
      </c>
      <c r="C17" t="s">
        <v>223</v>
      </c>
      <c r="D17" t="b">
        <f t="shared" si="0"/>
        <v>1</v>
      </c>
      <c r="E17" t="s">
        <v>223</v>
      </c>
    </row>
    <row r="18" spans="1:5" x14ac:dyDescent="0.25">
      <c r="A18" t="s">
        <v>224</v>
      </c>
      <c r="B18" t="s">
        <v>121</v>
      </c>
      <c r="C18" t="s">
        <v>145</v>
      </c>
      <c r="D18" t="b">
        <f t="shared" si="0"/>
        <v>1</v>
      </c>
      <c r="E18" t="s">
        <v>145</v>
      </c>
    </row>
    <row r="19" spans="1:5" x14ac:dyDescent="0.25">
      <c r="A19" t="s">
        <v>225</v>
      </c>
      <c r="B19" t="s">
        <v>155</v>
      </c>
      <c r="C19" t="s">
        <v>191</v>
      </c>
      <c r="D19" t="b">
        <f t="shared" si="0"/>
        <v>0</v>
      </c>
    </row>
    <row r="20" spans="1:5" x14ac:dyDescent="0.25">
      <c r="A20" t="s">
        <v>226</v>
      </c>
      <c r="B20" t="s">
        <v>227</v>
      </c>
      <c r="C20" t="s">
        <v>146</v>
      </c>
      <c r="D20" t="b">
        <f t="shared" si="0"/>
        <v>1</v>
      </c>
      <c r="E20" t="s">
        <v>146</v>
      </c>
    </row>
    <row r="21" spans="1:5" x14ac:dyDescent="0.25">
      <c r="A21" t="s">
        <v>228</v>
      </c>
      <c r="B21" t="s">
        <v>135</v>
      </c>
      <c r="C21" t="s">
        <v>152</v>
      </c>
      <c r="D21" t="b">
        <f t="shared" si="0"/>
        <v>0</v>
      </c>
    </row>
    <row r="22" spans="1:5" x14ac:dyDescent="0.25">
      <c r="A22" t="s">
        <v>229</v>
      </c>
      <c r="B22" t="s">
        <v>137</v>
      </c>
      <c r="C22" t="s">
        <v>145</v>
      </c>
      <c r="D22" t="b">
        <f t="shared" si="0"/>
        <v>1</v>
      </c>
      <c r="E22" t="s">
        <v>145</v>
      </c>
    </row>
    <row r="23" spans="1:5" x14ac:dyDescent="0.25">
      <c r="A23" t="s">
        <v>230</v>
      </c>
      <c r="B23" t="s">
        <v>231</v>
      </c>
      <c r="C23" t="s">
        <v>232</v>
      </c>
      <c r="D23" t="b">
        <f t="shared" si="0"/>
        <v>1</v>
      </c>
      <c r="E23" t="s">
        <v>232</v>
      </c>
    </row>
    <row r="24" spans="1:5" x14ac:dyDescent="0.25">
      <c r="A24" t="s">
        <v>341</v>
      </c>
      <c r="B24" t="s">
        <v>234</v>
      </c>
      <c r="C24" t="s">
        <v>235</v>
      </c>
      <c r="D24" t="b">
        <f t="shared" si="0"/>
        <v>1</v>
      </c>
      <c r="E24" t="s">
        <v>235</v>
      </c>
    </row>
    <row r="25" spans="1:5" x14ac:dyDescent="0.25">
      <c r="A25" t="s">
        <v>236</v>
      </c>
      <c r="B25" t="s">
        <v>234</v>
      </c>
      <c r="C25" t="s">
        <v>237</v>
      </c>
      <c r="D25" t="b">
        <f t="shared" si="0"/>
        <v>1</v>
      </c>
      <c r="E25" t="s">
        <v>237</v>
      </c>
    </row>
    <row r="26" spans="1:5" x14ac:dyDescent="0.25">
      <c r="A26" t="s">
        <v>238</v>
      </c>
      <c r="B26" t="s">
        <v>239</v>
      </c>
      <c r="C26" t="s">
        <v>240</v>
      </c>
      <c r="D26" t="b">
        <f t="shared" si="0"/>
        <v>1</v>
      </c>
      <c r="E26" t="s">
        <v>240</v>
      </c>
    </row>
    <row r="27" spans="1:5" x14ac:dyDescent="0.25">
      <c r="A27" t="s">
        <v>241</v>
      </c>
      <c r="B27" t="s">
        <v>138</v>
      </c>
      <c r="C27" t="s">
        <v>152</v>
      </c>
      <c r="D27" t="b">
        <f t="shared" si="0"/>
        <v>1</v>
      </c>
      <c r="E27" t="s">
        <v>152</v>
      </c>
    </row>
    <row r="28" spans="1:5" x14ac:dyDescent="0.25">
      <c r="A28" t="s">
        <v>242</v>
      </c>
      <c r="B28" t="s">
        <v>140</v>
      </c>
      <c r="C28" t="s">
        <v>152</v>
      </c>
      <c r="D28" t="b">
        <f t="shared" si="0"/>
        <v>1</v>
      </c>
      <c r="E28" t="s">
        <v>152</v>
      </c>
    </row>
    <row r="29" spans="1:5" x14ac:dyDescent="0.25">
      <c r="A29" t="s">
        <v>243</v>
      </c>
      <c r="B29" t="s">
        <v>141</v>
      </c>
      <c r="C29" t="s">
        <v>151</v>
      </c>
      <c r="D29" t="b">
        <f t="shared" si="0"/>
        <v>1</v>
      </c>
      <c r="E29" t="s">
        <v>151</v>
      </c>
    </row>
    <row r="30" spans="1:5" x14ac:dyDescent="0.25">
      <c r="A30" t="s">
        <v>244</v>
      </c>
      <c r="B30" t="s">
        <v>245</v>
      </c>
      <c r="C30" t="s">
        <v>204</v>
      </c>
      <c r="D30" t="b">
        <f t="shared" si="0"/>
        <v>0</v>
      </c>
    </row>
    <row r="31" spans="1:5" x14ac:dyDescent="0.25">
      <c r="A31" t="s">
        <v>246</v>
      </c>
      <c r="B31" t="s">
        <v>247</v>
      </c>
      <c r="C31" t="s">
        <v>152</v>
      </c>
      <c r="D31" t="b">
        <f t="shared" si="0"/>
        <v>1</v>
      </c>
      <c r="E31" t="s">
        <v>152</v>
      </c>
    </row>
    <row r="32" spans="1:5" x14ac:dyDescent="0.25">
      <c r="A32" t="s">
        <v>343</v>
      </c>
      <c r="B32" t="s">
        <v>344</v>
      </c>
      <c r="C32" t="s">
        <v>345</v>
      </c>
      <c r="D32" t="b">
        <f t="shared" si="0"/>
        <v>1</v>
      </c>
      <c r="E32" t="s">
        <v>345</v>
      </c>
    </row>
    <row r="33" spans="1:5" x14ac:dyDescent="0.25">
      <c r="A33" t="s">
        <v>347</v>
      </c>
      <c r="B33" t="s">
        <v>348</v>
      </c>
      <c r="C33" t="s">
        <v>204</v>
      </c>
      <c r="D33" t="b">
        <f t="shared" si="0"/>
        <v>1</v>
      </c>
      <c r="E33" t="s">
        <v>204</v>
      </c>
    </row>
    <row r="34" spans="1:5" x14ac:dyDescent="0.25">
      <c r="A34" t="s">
        <v>350</v>
      </c>
      <c r="B34" t="s">
        <v>351</v>
      </c>
      <c r="C34" t="s">
        <v>204</v>
      </c>
      <c r="D34" t="b">
        <f t="shared" si="0"/>
        <v>1</v>
      </c>
      <c r="E34" t="s">
        <v>204</v>
      </c>
    </row>
    <row r="35" spans="1:5" x14ac:dyDescent="0.25">
      <c r="A35" t="s">
        <v>352</v>
      </c>
      <c r="B35" t="s">
        <v>353</v>
      </c>
      <c r="C35" t="s">
        <v>204</v>
      </c>
      <c r="D35" t="b">
        <f t="shared" si="0"/>
        <v>1</v>
      </c>
      <c r="E35" t="s">
        <v>204</v>
      </c>
    </row>
    <row r="36" spans="1:5" x14ac:dyDescent="0.25">
      <c r="A36" t="s">
        <v>354</v>
      </c>
      <c r="B36" t="s">
        <v>355</v>
      </c>
      <c r="C36" t="s">
        <v>232</v>
      </c>
      <c r="D36" t="b">
        <f t="shared" si="0"/>
        <v>1</v>
      </c>
      <c r="E36" t="s">
        <v>232</v>
      </c>
    </row>
    <row r="37" spans="1:5" x14ac:dyDescent="0.25">
      <c r="A37" t="s">
        <v>356</v>
      </c>
      <c r="B37" t="s">
        <v>357</v>
      </c>
      <c r="C37" t="s">
        <v>358</v>
      </c>
      <c r="D37" t="b">
        <f t="shared" si="0"/>
        <v>1</v>
      </c>
      <c r="E37" t="s">
        <v>358</v>
      </c>
    </row>
    <row r="38" spans="1:5" x14ac:dyDescent="0.25">
      <c r="A38" t="s">
        <v>360</v>
      </c>
      <c r="B38" t="s">
        <v>361</v>
      </c>
      <c r="C38" t="s">
        <v>232</v>
      </c>
      <c r="D38" t="b">
        <f t="shared" si="0"/>
        <v>1</v>
      </c>
      <c r="E38" t="s">
        <v>232</v>
      </c>
    </row>
    <row r="39" spans="1:5" x14ac:dyDescent="0.25">
      <c r="A39" t="s">
        <v>362</v>
      </c>
      <c r="B39" t="s">
        <v>363</v>
      </c>
      <c r="C39" t="s">
        <v>364</v>
      </c>
      <c r="D39" t="b">
        <f t="shared" si="0"/>
        <v>1</v>
      </c>
      <c r="E39" t="s">
        <v>364</v>
      </c>
    </row>
    <row r="40" spans="1:5" x14ac:dyDescent="0.25">
      <c r="A40" t="s">
        <v>365</v>
      </c>
      <c r="B40" t="s">
        <v>366</v>
      </c>
      <c r="C40" t="s">
        <v>367</v>
      </c>
      <c r="D40" t="b">
        <f t="shared" si="0"/>
        <v>1</v>
      </c>
      <c r="E40" t="s">
        <v>367</v>
      </c>
    </row>
    <row r="41" spans="1:5" x14ac:dyDescent="0.25">
      <c r="A41" t="s">
        <v>416</v>
      </c>
      <c r="B41" t="s">
        <v>368</v>
      </c>
      <c r="C41" t="s">
        <v>369</v>
      </c>
      <c r="D41" t="b">
        <f t="shared" si="0"/>
        <v>1</v>
      </c>
      <c r="E41" t="s">
        <v>369</v>
      </c>
    </row>
    <row r="42" spans="1:5" x14ac:dyDescent="0.25">
      <c r="A42" t="s">
        <v>417</v>
      </c>
      <c r="B42" t="s">
        <v>368</v>
      </c>
      <c r="C42" t="s">
        <v>369</v>
      </c>
      <c r="D42" t="b">
        <f t="shared" si="0"/>
        <v>1</v>
      </c>
      <c r="E42" t="s">
        <v>369</v>
      </c>
    </row>
    <row r="43" spans="1:5" x14ac:dyDescent="0.25">
      <c r="A43" t="s">
        <v>370</v>
      </c>
      <c r="B43" t="s">
        <v>371</v>
      </c>
      <c r="C43" t="s">
        <v>193</v>
      </c>
      <c r="D43" t="b">
        <f t="shared" si="0"/>
        <v>1</v>
      </c>
      <c r="E43" t="s">
        <v>193</v>
      </c>
    </row>
  </sheetData>
  <autoFilter ref="A1:C43" xr:uid="{61EF212D-2278-4E2A-8093-8348AEAD0D6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12</vt:i4>
      </vt:variant>
    </vt:vector>
  </HeadingPairs>
  <TitlesOfParts>
    <vt:vector size="12" baseType="lpstr">
      <vt:lpstr>НДС</vt:lpstr>
      <vt:lpstr>ИТОГ</vt:lpstr>
      <vt:lpstr>Свод </vt:lpstr>
      <vt:lpstr>Лист1</vt:lpstr>
      <vt:lpstr>Спецификация</vt:lpstr>
      <vt:lpstr>Анализ рынка</vt:lpstr>
      <vt:lpstr>Контракт</vt:lpstr>
      <vt:lpstr>Тарифный метод</vt:lpstr>
      <vt:lpstr>Средневзвешенная цена</vt:lpstr>
      <vt:lpstr>Референтная цена</vt:lpstr>
      <vt:lpstr>Спецификация 25</vt:lpstr>
      <vt:lpstr>Лист2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Антропова</cp:lastModifiedBy>
  <cp:lastPrinted>2026-06-10T08:20:55Z</cp:lastPrinted>
  <dcterms:created xsi:type="dcterms:W3CDTF">2012-02-07T08:33:43Z</dcterms:created>
  <dcterms:modified xsi:type="dcterms:W3CDTF">2026-06-10T12:59:36Z</dcterms:modified>
</cp:coreProperties>
</file>