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opyanAA\Downloads\"/>
    </mc:Choice>
  </mc:AlternateContent>
  <bookViews>
    <workbookView xWindow="-105" yWindow="15" windowWidth="23250" windowHeight="12450" tabRatio="50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_FilterDatabase" localSheetId="0" hidden="1">Лист1!$N$1:$N$18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  <c r="M13" i="1"/>
  <c r="M14" i="1"/>
  <c r="M15" i="1" s="1"/>
  <c r="M12" i="1"/>
  <c r="M16" i="1" l="1"/>
  <c r="G12" i="1"/>
  <c r="G13" i="1"/>
  <c r="G14" i="1"/>
  <c r="G15" i="1"/>
  <c r="G11" i="1"/>
  <c r="G10" i="1"/>
  <c r="C13" i="1"/>
  <c r="C14" i="1"/>
  <c r="C15" i="1"/>
  <c r="C16" i="1"/>
  <c r="B9" i="1"/>
  <c r="B10" i="1"/>
  <c r="B11" i="1"/>
  <c r="B12" i="1"/>
  <c r="B13" i="1"/>
  <c r="B14" i="1"/>
  <c r="B15" i="1"/>
  <c r="B16" i="1"/>
  <c r="I9" i="1" l="1"/>
  <c r="G9" i="1" l="1"/>
  <c r="J9" i="1"/>
  <c r="I10" i="1"/>
  <c r="J10" i="1"/>
  <c r="I11" i="1"/>
  <c r="J11" i="1"/>
  <c r="I12" i="1"/>
  <c r="J12" i="1"/>
  <c r="L12" i="1"/>
  <c r="I13" i="1"/>
  <c r="J13" i="1"/>
  <c r="I14" i="1"/>
  <c r="J14" i="1"/>
  <c r="I15" i="1"/>
  <c r="J15" i="1"/>
  <c r="I16" i="1"/>
  <c r="J16" i="1"/>
  <c r="L16" i="1"/>
  <c r="B24" i="1" l="1"/>
  <c r="B23" i="1"/>
  <c r="B22" i="1" s="1"/>
  <c r="I17" i="1"/>
  <c r="K10" i="1"/>
  <c r="K14" i="1"/>
  <c r="K15" i="1"/>
  <c r="K16" i="1"/>
  <c r="K11" i="1"/>
  <c r="K13" i="1"/>
  <c r="K12" i="1"/>
  <c r="K9" i="1"/>
  <c r="E20" i="3" l="1"/>
  <c r="F18" i="2"/>
</calcChain>
</file>

<file path=xl/sharedStrings.xml><?xml version="1.0" encoding="utf-8"?>
<sst xmlns="http://schemas.openxmlformats.org/spreadsheetml/2006/main" count="29" uniqueCount="26">
  <si>
    <t xml:space="preserve"> </t>
  </si>
  <si>
    <t>Приложение   к контракту ___________</t>
  </si>
  <si>
    <t>Обоснования начальной (максимальной) цены контракта, цены контракта.</t>
  </si>
  <si>
    <t>(указывается предмет контракта)</t>
  </si>
  <si>
    <t xml:space="preserve">
</t>
  </si>
  <si>
    <t>№ п/п</t>
  </si>
  <si>
    <t>Наименование товара</t>
  </si>
  <si>
    <t>Кол-во</t>
  </si>
  <si>
    <t xml:space="preserve"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</t>
  </si>
  <si>
    <t>Минимальная цена</t>
  </si>
  <si>
    <t>Общая стоимость, руб.</t>
  </si>
  <si>
    <t xml:space="preserve"> Среднее квадратичное отклонение, руб.
</t>
  </si>
  <si>
    <t xml:space="preserve">Коэффициент вариации, % 
</t>
  </si>
  <si>
    <t xml:space="preserve"> Един. изм. </t>
  </si>
  <si>
    <t xml:space="preserve"> ОКПД </t>
  </si>
  <si>
    <t xml:space="preserve"> КОСГУ </t>
  </si>
  <si>
    <t>шт</t>
  </si>
  <si>
    <t>м</t>
  </si>
  <si>
    <t xml:space="preserve">Обоснование и расчет начальной максимальной цены ( метод сопоставимых рыночных цен ) </t>
  </si>
  <si>
    <t>щт</t>
  </si>
  <si>
    <t>25.29.12.110</t>
  </si>
  <si>
    <t xml:space="preserve">   Поставка    туристического оборудования для   ЛОК 2026   для  Государственного бюджетного  учреждения дополнительного образования  Калининского района Санкт-Петербурга                                                                       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</si>
  <si>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</si>
  <si>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</si>
  <si>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</si>
  <si>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32. 30.15.210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</si>
</sst>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8" x14ac:knownFonts="1"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u/>
      <sz val="10"/>
      <color rgb="FF0000FF"/>
      <name val="Arial"/>
      <family val="2"/>
      <charset val="204"/>
    </font>
    <font>
      <sz val="11"/>
      <color rgb="FF000000"/>
      <name val="Times New Roman"/>
      <family val="2"/>
      <charset val="204"/>
    </font>
    <font>
      <sz val="10"/>
      <name val="Arial"/>
      <family val="2"/>
    </font>
    <font>
      <sz val="11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name val="Calibri"/>
      <family val="2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9" fontId="14" fillId="0" borderId="0" applyBorder="0" applyAlignment="0" applyProtection="0"/>
    <xf numFmtId="0" fontId="2" fillId="0" borderId="0" applyBorder="0" applyAlignment="0" applyProtection="0"/>
    <xf numFmtId="0" fontId="3" fillId="0" borderId="0"/>
    <xf numFmtId="0" fontId="1" fillId="0" borderId="0"/>
    <xf numFmtId="0" fontId="4" fillId="0" borderId="0"/>
  </cellStyleXfs>
  <cellXfs count="49">
    <xf numFmtId="0" fontId="0" fillId="0" borderId="0" xfId="0"/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top" wrapText="1"/>
    </xf>
    <xf numFmtId="9" fontId="9" fillId="0" borderId="1" xfId="1" applyFont="1" applyBorder="1" applyAlignment="1" applyProtection="1">
      <alignment horizontal="center" vertical="top" wrapText="1"/>
    </xf>
    <xf numFmtId="0" fontId="10" fillId="0" borderId="1" xfId="0" applyFont="1" applyBorder="1" applyAlignment="1">
      <alignment vertical="center"/>
    </xf>
    <xf numFmtId="0" fontId="11" fillId="0" borderId="0" xfId="0" applyFont="1"/>
    <xf numFmtId="2" fontId="10" fillId="0" borderId="1" xfId="0" applyNumberFormat="1" applyFont="1" applyBorder="1"/>
    <xf numFmtId="0" fontId="12" fillId="0" borderId="0" xfId="0" applyFont="1"/>
    <xf numFmtId="4" fontId="13" fillId="0" borderId="2" xfId="0" applyNumberFormat="1" applyFont="1" applyBorder="1" applyAlignment="1">
      <alignment horizontal="right" vertical="center" wrapText="1"/>
    </xf>
    <xf numFmtId="4" fontId="13" fillId="0" borderId="3" xfId="0" applyNumberFormat="1" applyFont="1" applyBorder="1" applyAlignment="1">
      <alignment horizontal="right" vertical="center" wrapText="1"/>
    </xf>
    <xf numFmtId="0" fontId="13" fillId="0" borderId="3" xfId="0" applyFont="1" applyBorder="1" applyAlignment="1">
      <alignment horizontal="right" vertical="center" wrapText="1"/>
    </xf>
    <xf numFmtId="4" fontId="0" fillId="0" borderId="0" xfId="0" applyNumberFormat="1"/>
    <xf numFmtId="0" fontId="9" fillId="0" borderId="0" xfId="0" applyFont="1" applyAlignment="1">
      <alignment horizontal="center" vertical="center"/>
    </xf>
    <xf numFmtId="0" fontId="5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/>
    <xf numFmtId="2" fontId="9" fillId="0" borderId="1" xfId="5" applyNumberFormat="1" applyFont="1" applyBorder="1" applyAlignment="1">
      <alignment wrapText="1" shrinkToFit="1"/>
    </xf>
    <xf numFmtId="10" fontId="10" fillId="0" borderId="1" xfId="1" applyNumberFormat="1" applyFont="1" applyBorder="1" applyAlignment="1" applyProtection="1"/>
    <xf numFmtId="0" fontId="10" fillId="0" borderId="1" xfId="0" applyFont="1" applyBorder="1"/>
    <xf numFmtId="0" fontId="8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 shrinkToFit="1"/>
    </xf>
    <xf numFmtId="164" fontId="10" fillId="2" borderId="1" xfId="0" applyNumberFormat="1" applyFont="1" applyFill="1" applyBorder="1"/>
    <xf numFmtId="0" fontId="0" fillId="2" borderId="0" xfId="0" applyFill="1"/>
    <xf numFmtId="0" fontId="13" fillId="0" borderId="0" xfId="0" applyFont="1"/>
    <xf numFmtId="0" fontId="16" fillId="0" borderId="0" xfId="0" applyFont="1"/>
    <xf numFmtId="0" fontId="13" fillId="0" borderId="1" xfId="0" applyFont="1" applyBorder="1"/>
    <xf numFmtId="0" fontId="16" fillId="0" borderId="1" xfId="0" applyFont="1" applyBorder="1"/>
    <xf numFmtId="0" fontId="13" fillId="0" borderId="1" xfId="0" applyFont="1" applyBorder="1" applyAlignment="1">
      <alignment horizontal="center" vertical="center"/>
    </xf>
    <xf numFmtId="0" fontId="10" fillId="0" borderId="0" xfId="0" applyFont="1"/>
    <xf numFmtId="0" fontId="13" fillId="2" borderId="0" xfId="0" applyFont="1" applyFill="1"/>
    <xf numFmtId="164" fontId="17" fillId="2" borderId="0" xfId="0" applyNumberFormat="1" applyFont="1" applyFill="1"/>
    <xf numFmtId="164" fontId="0" fillId="0" borderId="0" xfId="0" applyNumberFormat="1"/>
    <xf numFmtId="0" fontId="13" fillId="0" borderId="0" xfId="0" applyFont="1" applyFill="1" applyAlignment="1">
      <alignment horizontal="right"/>
    </xf>
    <xf numFmtId="0" fontId="13" fillId="0" borderId="0" xfId="0" applyFont="1" applyFill="1"/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" xfId="5" applyFont="1" applyFill="1" applyBorder="1" applyAlignment="1">
      <alignment wrapText="1" shrinkToFit="1"/>
    </xf>
    <xf numFmtId="0" fontId="0" fillId="0" borderId="0" xfId="0" applyFill="1"/>
    <xf numFmtId="0" fontId="16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6">
    <cellStyle name="Гиперссылка 2" xfId="2"/>
    <cellStyle name="Обычный" xfId="0" builtinId="0"/>
    <cellStyle name="Обычный 2" xfId="3"/>
    <cellStyle name="Обычный 3" xfId="4"/>
    <cellStyle name="Обычный_Лист1" xfId="5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39240</xdr:colOff>
      <xdr:row>7</xdr:row>
      <xdr:rowOff>656640</xdr:rowOff>
    </xdr:from>
    <xdr:to>
      <xdr:col>11</xdr:col>
      <xdr:colOff>107214</xdr:colOff>
      <xdr:row>7</xdr:row>
      <xdr:rowOff>929160</xdr:rowOff>
    </xdr:to>
    <xdr:pic>
      <xdr:nvPicPr>
        <xdr:cNvPr id="2" name="Рисунок 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825040" y="2599920"/>
          <a:ext cx="838440" cy="272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0</xdr:colOff>
      <xdr:row>7</xdr:row>
      <xdr:rowOff>594360</xdr:rowOff>
    </xdr:from>
    <xdr:to>
      <xdr:col>10</xdr:col>
      <xdr:colOff>422227</xdr:colOff>
      <xdr:row>7</xdr:row>
      <xdr:rowOff>999360</xdr:rowOff>
    </xdr:to>
    <xdr:pic>
      <xdr:nvPicPr>
        <xdr:cNvPr id="3" name="Рисунок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526160" y="2537640"/>
          <a:ext cx="1292400" cy="40500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4;&#1072;&#1090;&#1079;&#1072;&#1087;&#1072;&#1089;&#1099;%20&#1083;&#1077;&#1090;&#1086;%20%202026%20&#1052;&#1040;&#1043;&#1040;&#1047;&#1048;&#1053;%20&#8470;2%20&#1090;&#1077;&#1093;&#1079;&#1072;&#1076;&#1072;&#1085;&#1080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5">
          <cell r="B5" t="str">
            <v>Газовый балон с резьбой 450 гр Tramp TRG-002</v>
          </cell>
        </row>
        <row r="6">
          <cell r="B6" t="str">
            <v>Газовый балон с резьбой 230 гр Tramp TRG-003</v>
          </cell>
        </row>
        <row r="7">
          <cell r="B7" t="str">
            <v>Карабин Chlorum с байонетной муфтой keylock (Венто)</v>
          </cell>
        </row>
        <row r="8">
          <cell r="B8" t="str">
            <v>Веревка РЕМЕРА СТ60 статическая</v>
          </cell>
        </row>
        <row r="9">
          <cell r="B9" t="str">
            <v>Спусковое устройство восьмерка "Спорт-туризм" (с карабином Гусь автомат) ver 0321-2.blue</v>
          </cell>
          <cell r="E9">
            <v>4</v>
          </cell>
        </row>
        <row r="10">
          <cell r="B10" t="str">
            <v>vnt 1083_bu Жумар под правую руку Зажим ручной. Цвет: Синий</v>
          </cell>
          <cell r="E10">
            <v>4</v>
          </cell>
        </row>
        <row r="11">
          <cell r="B11" t="str">
            <v>PETZL Ножной зажим PANTIN Артикул: B02CRA правый</v>
          </cell>
          <cell r="E11">
            <v>2</v>
          </cell>
        </row>
        <row r="12">
          <cell r="B12" t="str">
            <v>PETZL Ножной зажим PANTIN Артикул: B02CLA левый</v>
          </cell>
          <cell r="E12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topLeftCell="A10" zoomScale="90" zoomScaleNormal="90" workbookViewId="0">
      <selection activeCell="B16" sqref="B16"/>
    </sheetView>
  </sheetViews>
  <sheetFormatPr defaultRowHeight="15" x14ac:dyDescent="0.25"/>
  <cols>
    <col min="1" max="1" width="8" customWidth="1"/>
    <col min="2" max="2" width="39.7109375" customWidth="1"/>
    <col min="3" max="3" width="6.85546875" style="38" customWidth="1"/>
    <col min="4" max="4" width="10.28515625" customWidth="1"/>
    <col min="5" max="5" width="13.85546875" customWidth="1"/>
    <col min="6" max="6" width="10.42578125" customWidth="1"/>
    <col min="7" max="7" width="11.85546875" customWidth="1"/>
    <col min="8" max="8" width="9.42578125" style="14" customWidth="1"/>
    <col min="9" max="9" width="13.5703125" style="24" customWidth="1"/>
    <col min="10" max="10" width="12.28515625" customWidth="1"/>
    <col min="11" max="11" width="11.28515625" customWidth="1"/>
    <col min="12" max="12" width="8" customWidth="1"/>
    <col min="13" max="13" width="13.42578125" customWidth="1"/>
    <col min="14" max="14" width="9.28515625" style="15" customWidth="1"/>
  </cols>
  <sheetData>
    <row r="1" spans="1:14" ht="15.75" x14ac:dyDescent="0.25">
      <c r="A1" s="25" t="s">
        <v>0</v>
      </c>
      <c r="B1" s="25"/>
      <c r="C1" s="34"/>
      <c r="D1" s="45" t="s">
        <v>1</v>
      </c>
      <c r="E1" s="45"/>
      <c r="F1" s="45"/>
      <c r="G1" s="45"/>
      <c r="H1" s="45"/>
      <c r="I1" s="45"/>
      <c r="J1" s="45"/>
      <c r="K1" s="45"/>
      <c r="L1" s="25"/>
      <c r="M1" s="25"/>
      <c r="N1" s="26"/>
    </row>
    <row r="2" spans="1:14" ht="31.5" customHeight="1" x14ac:dyDescent="0.25">
      <c r="A2" s="46" t="s">
        <v>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25"/>
      <c r="M2" s="25"/>
      <c r="N2" s="26"/>
    </row>
    <row r="3" spans="1:14" ht="32.25" customHeight="1" x14ac:dyDescent="0.25">
      <c r="A3" s="47" t="s">
        <v>21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25"/>
      <c r="M3" s="25"/>
      <c r="N3" s="26"/>
    </row>
    <row r="4" spans="1:14" x14ac:dyDescent="0.2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25"/>
      <c r="M4" s="25"/>
      <c r="N4" s="26"/>
    </row>
    <row r="5" spans="1:14" x14ac:dyDescent="0.25">
      <c r="A5" s="25"/>
      <c r="B5" s="25"/>
      <c r="C5" s="35"/>
      <c r="D5" s="1"/>
      <c r="E5" s="1"/>
      <c r="F5" s="1"/>
      <c r="G5" s="1"/>
      <c r="H5" s="13"/>
      <c r="I5" s="21"/>
      <c r="J5" s="1"/>
      <c r="K5" s="1"/>
      <c r="L5" s="25"/>
      <c r="M5" s="25"/>
      <c r="N5" s="26"/>
    </row>
    <row r="6" spans="1:14" ht="43.5" customHeight="1" x14ac:dyDescent="0.25">
      <c r="A6" s="47" t="s">
        <v>4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25"/>
      <c r="M6" s="25"/>
      <c r="N6" s="26"/>
    </row>
    <row r="7" spans="1:14" ht="15.75" customHeight="1" x14ac:dyDescent="0.25">
      <c r="A7" s="44" t="s">
        <v>18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27"/>
      <c r="M7" s="27"/>
      <c r="N7" s="28"/>
    </row>
    <row r="8" spans="1:14" s="6" customFormat="1" ht="115.9" customHeight="1" x14ac:dyDescent="0.25">
      <c r="A8" s="40" t="s">
        <v>5</v>
      </c>
      <c r="B8" s="41" t="s">
        <v>6</v>
      </c>
      <c r="C8" s="36" t="s">
        <v>7</v>
      </c>
      <c r="D8" s="2" t="s">
        <v>22</v>
      </c>
      <c r="E8" s="2" t="s">
        <v>23</v>
      </c>
      <c r="F8" s="2" t="s">
        <v>24</v>
      </c>
      <c r="G8" s="2" t="s">
        <v>8</v>
      </c>
      <c r="H8" s="2" t="s">
        <v>9</v>
      </c>
      <c r="I8" s="22" t="s">
        <v>10</v>
      </c>
      <c r="J8" s="3" t="s">
        <v>11</v>
      </c>
      <c r="K8" s="4" t="s">
        <v>12</v>
      </c>
      <c r="L8" s="5" t="s">
        <v>13</v>
      </c>
      <c r="M8" s="29" t="s">
        <v>14</v>
      </c>
      <c r="N8" s="39" t="s">
        <v>15</v>
      </c>
    </row>
    <row r="9" spans="1:14" s="8" customFormat="1" ht="55.15" customHeight="1" x14ac:dyDescent="0.25">
      <c r="A9" s="16">
        <v>1</v>
      </c>
      <c r="B9" s="42" t="str">
        <f>[1]Лист1!B5</f>
        <v>Газовый балон с резьбой 450 гр Tramp TRG-002</v>
      </c>
      <c r="C9" s="37">
        <v>50</v>
      </c>
      <c r="D9" s="18">
        <v>660</v>
      </c>
      <c r="E9" s="18">
        <v>665</v>
      </c>
      <c r="F9" s="18">
        <v>670</v>
      </c>
      <c r="G9" s="17">
        <f t="shared" ref="G9" si="0">AVERAGE(D9:F9)</f>
        <v>665</v>
      </c>
      <c r="H9" s="18">
        <v>660</v>
      </c>
      <c r="I9" s="23">
        <f>PRODUCT(H9,C9)</f>
        <v>33000</v>
      </c>
      <c r="J9" s="7">
        <f t="shared" ref="J9" si="1">STDEV(D9:F9)</f>
        <v>5</v>
      </c>
      <c r="K9" s="19">
        <f t="shared" ref="K9" si="2">J9/G9</f>
        <v>7.5187969924812026E-3</v>
      </c>
      <c r="L9" s="20" t="s">
        <v>16</v>
      </c>
      <c r="M9" s="20" t="s">
        <v>20</v>
      </c>
      <c r="N9" s="28">
        <v>340</v>
      </c>
    </row>
    <row r="10" spans="1:14" s="8" customFormat="1" ht="65.45" customHeight="1" x14ac:dyDescent="0.25">
      <c r="A10" s="16">
        <v>2</v>
      </c>
      <c r="B10" s="42" t="str">
        <f>[1]Лист1!B6</f>
        <v>Газовый балон с резьбой 230 гр Tramp TRG-003</v>
      </c>
      <c r="C10" s="37">
        <v>39</v>
      </c>
      <c r="D10" s="18">
        <v>420</v>
      </c>
      <c r="E10" s="18">
        <v>425</v>
      </c>
      <c r="F10" s="18">
        <v>450</v>
      </c>
      <c r="G10" s="17">
        <f>AVERAGE(D10:F10)</f>
        <v>431.66666666666669</v>
      </c>
      <c r="H10" s="18">
        <v>420</v>
      </c>
      <c r="I10" s="23">
        <f t="shared" ref="I10:I12" si="3">H10*C10</f>
        <v>16380</v>
      </c>
      <c r="J10" s="7">
        <f t="shared" ref="J10:J12" si="4">STDEV(D10:F10)</f>
        <v>16.072751268321593</v>
      </c>
      <c r="K10" s="19">
        <f t="shared" ref="K10:K12" si="5">J10/G10</f>
        <v>3.7234172822366622E-2</v>
      </c>
      <c r="L10" s="20" t="s">
        <v>17</v>
      </c>
      <c r="M10" s="20" t="str">
        <f>$M$9</f>
        <v>25.29.12.110</v>
      </c>
      <c r="N10" s="28">
        <v>340</v>
      </c>
    </row>
    <row r="11" spans="1:14" s="8" customFormat="1" ht="55.15" customHeight="1" x14ac:dyDescent="0.25">
      <c r="A11" s="16">
        <v>3</v>
      </c>
      <c r="B11" s="42" t="str">
        <f>[1]Лист1!B7</f>
        <v>Карабин Chlorum с байонетной муфтой keylock (Венто)</v>
      </c>
      <c r="C11" s="37">
        <v>107</v>
      </c>
      <c r="D11" s="18">
        <v>1190</v>
      </c>
      <c r="E11" s="18">
        <v>1200</v>
      </c>
      <c r="F11" s="18">
        <v>1250</v>
      </c>
      <c r="G11" s="17">
        <f>AVERAGE(D11:F11)</f>
        <v>1213.3333333333333</v>
      </c>
      <c r="H11" s="18">
        <v>1190</v>
      </c>
      <c r="I11" s="23">
        <f t="shared" si="3"/>
        <v>127330</v>
      </c>
      <c r="J11" s="7">
        <f t="shared" si="4"/>
        <v>32.145502536643185</v>
      </c>
      <c r="K11" s="19">
        <f t="shared" si="5"/>
        <v>2.6493546046683945E-2</v>
      </c>
      <c r="L11" s="20" t="s">
        <v>16</v>
      </c>
      <c r="M11" s="20" t="s">
        <v>25</v>
      </c>
      <c r="N11" s="28">
        <v>340</v>
      </c>
    </row>
    <row r="12" spans="1:14" s="8" customFormat="1" ht="69" customHeight="1" x14ac:dyDescent="0.25">
      <c r="A12" s="16">
        <v>4</v>
      </c>
      <c r="B12" s="42" t="str">
        <f>[1]Лист1!B8</f>
        <v>Веревка РЕМЕРА СТ60 статическая</v>
      </c>
      <c r="C12" s="37">
        <v>400</v>
      </c>
      <c r="D12" s="18">
        <v>84</v>
      </c>
      <c r="E12" s="18">
        <v>85</v>
      </c>
      <c r="F12" s="18">
        <v>86</v>
      </c>
      <c r="G12" s="17">
        <f t="shared" ref="G12:G15" si="6">AVERAGE(D12:F12)</f>
        <v>85</v>
      </c>
      <c r="H12" s="18">
        <v>84</v>
      </c>
      <c r="I12" s="23">
        <f t="shared" si="3"/>
        <v>33600</v>
      </c>
      <c r="J12" s="7">
        <f t="shared" si="4"/>
        <v>1</v>
      </c>
      <c r="K12" s="19">
        <f t="shared" si="5"/>
        <v>1.1764705882352941E-2</v>
      </c>
      <c r="L12" s="20" t="str">
        <f t="shared" ref="L12" si="7">$L$9</f>
        <v>шт</v>
      </c>
      <c r="M12" s="20" t="str">
        <f>$M$11</f>
        <v>32. 30.15.210</v>
      </c>
      <c r="N12" s="28">
        <v>340</v>
      </c>
    </row>
    <row r="13" spans="1:14" s="8" customFormat="1" ht="55.15" customHeight="1" x14ac:dyDescent="0.25">
      <c r="A13" s="16">
        <v>5</v>
      </c>
      <c r="B13" s="42" t="str">
        <f>[1]Лист1!B9</f>
        <v>Спусковое устройство восьмерка "Спорт-туризм" (с карабином Гусь автомат) ver 0321-2.blue</v>
      </c>
      <c r="C13" s="37">
        <f>[1]Лист1!E9</f>
        <v>4</v>
      </c>
      <c r="D13" s="18">
        <v>2350</v>
      </c>
      <c r="E13" s="18">
        <v>2400</v>
      </c>
      <c r="F13" s="18">
        <v>2420</v>
      </c>
      <c r="G13" s="17">
        <f t="shared" si="6"/>
        <v>2390</v>
      </c>
      <c r="H13" s="18">
        <v>2350</v>
      </c>
      <c r="I13" s="23">
        <f t="shared" ref="I13:I16" si="8">H13*C13</f>
        <v>9400</v>
      </c>
      <c r="J13" s="7">
        <f t="shared" ref="J13:J16" si="9">STDEV(D13:F13)</f>
        <v>36.055512754639892</v>
      </c>
      <c r="K13" s="19">
        <f t="shared" ref="K13:K16" si="10">J13/G13</f>
        <v>1.5085988600267738E-2</v>
      </c>
      <c r="L13" s="20" t="s">
        <v>16</v>
      </c>
      <c r="M13" s="20" t="str">
        <f t="shared" ref="M13:M14" si="11">$M$11</f>
        <v>32. 30.15.210</v>
      </c>
      <c r="N13" s="28">
        <v>340</v>
      </c>
    </row>
    <row r="14" spans="1:14" s="8" customFormat="1" ht="65.45" customHeight="1" x14ac:dyDescent="0.25">
      <c r="A14" s="16">
        <v>6</v>
      </c>
      <c r="B14" s="42" t="str">
        <f>[1]Лист1!B10</f>
        <v>vnt 1083_bu Жумар под правую руку Зажим ручной. Цвет: Синий</v>
      </c>
      <c r="C14" s="37">
        <f>[1]Лист1!E10</f>
        <v>4</v>
      </c>
      <c r="D14" s="18">
        <v>5490</v>
      </c>
      <c r="E14" s="18">
        <v>5500</v>
      </c>
      <c r="F14" s="18">
        <v>5600</v>
      </c>
      <c r="G14" s="17">
        <f t="shared" si="6"/>
        <v>5530</v>
      </c>
      <c r="H14" s="18">
        <v>5490</v>
      </c>
      <c r="I14" s="23">
        <f t="shared" si="8"/>
        <v>21960</v>
      </c>
      <c r="J14" s="7">
        <f t="shared" si="9"/>
        <v>60.827625302982199</v>
      </c>
      <c r="K14" s="19">
        <f t="shared" si="10"/>
        <v>1.0999570579201121E-2</v>
      </c>
      <c r="L14" s="20" t="s">
        <v>19</v>
      </c>
      <c r="M14" s="20" t="str">
        <f t="shared" si="11"/>
        <v>32. 30.15.210</v>
      </c>
      <c r="N14" s="28">
        <v>340</v>
      </c>
    </row>
    <row r="15" spans="1:14" s="14" customFormat="1" ht="55.15" customHeight="1" x14ac:dyDescent="0.25">
      <c r="A15" s="16">
        <v>7</v>
      </c>
      <c r="B15" s="43" t="str">
        <f>[1]Лист1!B11</f>
        <v>PETZL Ножной зажим PANTIN Артикул: B02CRA правый</v>
      </c>
      <c r="C15" s="37">
        <f>[1]Лист1!E11</f>
        <v>2</v>
      </c>
      <c r="D15" s="18">
        <v>11753</v>
      </c>
      <c r="E15" s="18">
        <v>12000</v>
      </c>
      <c r="F15" s="18">
        <v>12500</v>
      </c>
      <c r="G15" s="17">
        <f t="shared" si="6"/>
        <v>12084.333333333334</v>
      </c>
      <c r="H15" s="18">
        <v>11753</v>
      </c>
      <c r="I15" s="23">
        <f t="shared" si="8"/>
        <v>23506</v>
      </c>
      <c r="J15" s="7">
        <f t="shared" si="9"/>
        <v>380.5736897544723</v>
      </c>
      <c r="K15" s="19">
        <f t="shared" si="10"/>
        <v>3.1493147305420709E-2</v>
      </c>
      <c r="L15" s="20" t="s">
        <v>16</v>
      </c>
      <c r="M15" s="20" t="str">
        <f t="shared" ref="M15:M16" si="12">$M$14</f>
        <v>32. 30.15.210</v>
      </c>
      <c r="N15" s="28">
        <v>340</v>
      </c>
    </row>
    <row r="16" spans="1:14" s="8" customFormat="1" ht="69" customHeight="1" x14ac:dyDescent="0.25">
      <c r="A16" s="16">
        <v>8</v>
      </c>
      <c r="B16" s="42" t="str">
        <f>[1]Лист1!B12</f>
        <v>PETZL Ножной зажим PANTIN Артикул: B02CLA левый</v>
      </c>
      <c r="C16" s="37">
        <f>[1]Лист1!E12</f>
        <v>2</v>
      </c>
      <c r="D16" s="18">
        <v>11753</v>
      </c>
      <c r="E16" s="18">
        <v>12000</v>
      </c>
      <c r="F16" s="18">
        <v>12500</v>
      </c>
      <c r="G16" s="17">
        <v>10050</v>
      </c>
      <c r="H16" s="18">
        <v>11753</v>
      </c>
      <c r="I16" s="23">
        <f t="shared" si="8"/>
        <v>23506</v>
      </c>
      <c r="J16" s="7">
        <f t="shared" si="9"/>
        <v>380.5736897544723</v>
      </c>
      <c r="K16" s="19">
        <f t="shared" si="10"/>
        <v>3.7868028831290777E-2</v>
      </c>
      <c r="L16" s="20" t="str">
        <f t="shared" ref="L16" si="13">$L$9</f>
        <v>шт</v>
      </c>
      <c r="M16" s="20" t="str">
        <f t="shared" si="12"/>
        <v>32. 30.15.210</v>
      </c>
      <c r="N16" s="28">
        <v>340</v>
      </c>
    </row>
    <row r="17" spans="1:14" x14ac:dyDescent="0.25">
      <c r="A17" s="25"/>
      <c r="B17" s="25"/>
      <c r="C17" s="35"/>
      <c r="D17" s="25"/>
      <c r="E17" s="25"/>
      <c r="F17" s="25"/>
      <c r="G17" s="25"/>
      <c r="H17" s="30"/>
      <c r="I17" s="32">
        <f>SUM(I9:I16)</f>
        <v>288682</v>
      </c>
      <c r="J17" s="25"/>
      <c r="K17" s="25"/>
      <c r="L17" s="25"/>
      <c r="M17" s="25"/>
      <c r="N17" s="26"/>
    </row>
    <row r="18" spans="1:14" x14ac:dyDescent="0.25">
      <c r="A18" s="25"/>
      <c r="B18" s="25"/>
      <c r="C18" s="35"/>
      <c r="D18" s="25"/>
      <c r="E18" s="25"/>
      <c r="F18" s="25"/>
      <c r="G18" s="25"/>
      <c r="H18" s="30"/>
      <c r="I18" s="31"/>
      <c r="J18" s="25"/>
      <c r="K18" s="25"/>
      <c r="L18" s="25"/>
      <c r="M18" s="25"/>
      <c r="N18" s="26"/>
    </row>
    <row r="21" spans="1:14" ht="42" customHeight="1" x14ac:dyDescent="0.25"/>
    <row r="22" spans="1:14" x14ac:dyDescent="0.25">
      <c r="B22" s="33" t="e">
        <f>SUM(B23:B24)</f>
        <v>#REF!</v>
      </c>
    </row>
    <row r="23" spans="1:14" x14ac:dyDescent="0.25">
      <c r="B23" s="33" t="e">
        <f>I11+I12+I15+I16+#REF!+#REF!+#REF!+#REF!+#REF!</f>
        <v>#REF!</v>
      </c>
    </row>
    <row r="24" spans="1:14" x14ac:dyDescent="0.25">
      <c r="B24" s="33" t="e">
        <f>I9+I10+I13+I14+#REF!+#REF!</f>
        <v>#REF!</v>
      </c>
      <c r="C24" s="38">
        <v>340</v>
      </c>
    </row>
  </sheetData>
  <autoFilter ref="N1:N18"/>
  <mergeCells count="6">
    <mergeCell ref="A7:K7"/>
    <mergeCell ref="D1:K1"/>
    <mergeCell ref="A2:K2"/>
    <mergeCell ref="A3:K3"/>
    <mergeCell ref="A4:K4"/>
    <mergeCell ref="A6:K6"/>
  </mergeCells>
  <pageMargins left="0.7" right="0.7" top="0.75" bottom="0.75" header="0.511811023622047" footer="0.511811023622047"/>
  <pageSetup paperSize="9" scale="67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F18"/>
  <sheetViews>
    <sheetView zoomScaleNormal="100" workbookViewId="0">
      <selection activeCell="F7" sqref="F7"/>
    </sheetView>
  </sheetViews>
  <sheetFormatPr defaultColWidth="9" defaultRowHeight="15" x14ac:dyDescent="0.25"/>
  <cols>
    <col min="6" max="6" width="18.28515625" customWidth="1"/>
  </cols>
  <sheetData>
    <row r="7" spans="6:6" x14ac:dyDescent="0.25">
      <c r="F7" s="9"/>
    </row>
    <row r="8" spans="6:6" x14ac:dyDescent="0.25">
      <c r="F8" s="10"/>
    </row>
    <row r="9" spans="6:6" x14ac:dyDescent="0.25">
      <c r="F9" s="10"/>
    </row>
    <row r="10" spans="6:6" x14ac:dyDescent="0.25">
      <c r="F10" s="10"/>
    </row>
    <row r="11" spans="6:6" x14ac:dyDescent="0.25">
      <c r="F11" s="10"/>
    </row>
    <row r="12" spans="6:6" x14ac:dyDescent="0.25">
      <c r="F12" s="10"/>
    </row>
    <row r="13" spans="6:6" x14ac:dyDescent="0.25">
      <c r="F13" s="11"/>
    </row>
    <row r="14" spans="6:6" x14ac:dyDescent="0.25">
      <c r="F14" s="10"/>
    </row>
    <row r="15" spans="6:6" x14ac:dyDescent="0.25">
      <c r="F15" s="10"/>
    </row>
    <row r="16" spans="6:6" x14ac:dyDescent="0.25">
      <c r="F16" s="10"/>
    </row>
    <row r="17" spans="6:6" x14ac:dyDescent="0.25">
      <c r="F17" s="11"/>
    </row>
    <row r="18" spans="6:6" x14ac:dyDescent="0.25">
      <c r="F18" s="12">
        <f>SUM(F7:F17)</f>
        <v>0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E20"/>
  <sheetViews>
    <sheetView zoomScaleNormal="100" workbookViewId="0">
      <selection activeCell="E20" sqref="E20"/>
    </sheetView>
  </sheetViews>
  <sheetFormatPr defaultColWidth="9" defaultRowHeight="15" x14ac:dyDescent="0.25"/>
  <cols>
    <col min="5" max="5" width="13.28515625" customWidth="1"/>
  </cols>
  <sheetData>
    <row r="9" spans="5:5" x14ac:dyDescent="0.25">
      <c r="E9">
        <v>208577.01199999999</v>
      </c>
    </row>
    <row r="10" spans="5:5" x14ac:dyDescent="0.25">
      <c r="E10">
        <v>35594.339999999997</v>
      </c>
    </row>
    <row r="11" spans="5:5" x14ac:dyDescent="0.25">
      <c r="E11">
        <v>13558.745999999999</v>
      </c>
    </row>
    <row r="12" spans="5:5" x14ac:dyDescent="0.25">
      <c r="E12">
        <v>3178.9340000000002</v>
      </c>
    </row>
    <row r="13" spans="5:5" x14ac:dyDescent="0.25">
      <c r="E13">
        <v>17919.79</v>
      </c>
    </row>
    <row r="14" spans="5:5" x14ac:dyDescent="0.25">
      <c r="E14">
        <v>8305.8860000000004</v>
      </c>
    </row>
    <row r="15" spans="5:5" x14ac:dyDescent="0.25">
      <c r="E15">
        <v>723.04600000000005</v>
      </c>
    </row>
    <row r="16" spans="5:5" x14ac:dyDescent="0.25">
      <c r="E16">
        <v>1187.8699999999999</v>
      </c>
    </row>
    <row r="17" spans="5:5" x14ac:dyDescent="0.25">
      <c r="E17">
        <v>1239.5160000000001</v>
      </c>
    </row>
    <row r="18" spans="5:5" x14ac:dyDescent="0.25">
      <c r="E18">
        <v>1325.586</v>
      </c>
    </row>
    <row r="19" spans="5:5" x14ac:dyDescent="0.25">
      <c r="E19">
        <v>594.02599999999995</v>
      </c>
    </row>
    <row r="20" spans="5:5" x14ac:dyDescent="0.25">
      <c r="E20">
        <f>SUM(E9:E19)</f>
        <v>292204.75199999998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Акопян Амалия Араиковна</cp:lastModifiedBy>
  <cp:revision>0</cp:revision>
  <cp:lastPrinted>2026-05-20T12:17:35Z</cp:lastPrinted>
  <dcterms:created xsi:type="dcterms:W3CDTF">2014-02-20T10:55:18Z</dcterms:created>
  <dcterms:modified xsi:type="dcterms:W3CDTF">2026-06-11T08:04:41Z</dcterms:modified>
  <dc:language>ru-RU</dc:language>
</cp:coreProperties>
</file>