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0" yWindow="0" windowWidth="19440" windowHeight="11760" tabRatio="500"/>
  </bookViews>
  <sheets>
    <sheet name="Лист1" sheetId="1" r:id="rId1"/>
  </sheets>
  <definedNames>
    <definedName name="_xlnm._FilterDatabase" localSheetId="0" hidden="1">Лист1!$A$9:$BF$53</definedName>
    <definedName name="_xlnm.Print_Area" localSheetId="0">Лист1!$A$1:$AF$5</definedName>
  </definedNames>
  <calcPr calcId="144525" refMode="R1C1"/>
</workbook>
</file>

<file path=xl/calcChain.xml><?xml version="1.0" encoding="utf-8"?>
<calcChain xmlns="http://schemas.openxmlformats.org/spreadsheetml/2006/main">
  <c r="H18" i="1" l="1"/>
  <c r="H48" i="1"/>
  <c r="G48" i="1"/>
  <c r="F48" i="1"/>
  <c r="H40" i="1"/>
  <c r="G40" i="1"/>
  <c r="F40" i="1"/>
  <c r="H39" i="1"/>
  <c r="G39" i="1"/>
  <c r="F39" i="1"/>
  <c r="H35" i="1"/>
  <c r="G35" i="1"/>
  <c r="F35" i="1"/>
  <c r="H34" i="1"/>
  <c r="G34" i="1"/>
  <c r="F34" i="1"/>
  <c r="H28" i="1"/>
  <c r="G28" i="1"/>
  <c r="F28" i="1"/>
  <c r="G18" i="1"/>
  <c r="F18" i="1"/>
  <c r="H27" i="1"/>
  <c r="G27" i="1"/>
  <c r="F27" i="1"/>
  <c r="H14" i="1"/>
  <c r="G14" i="1"/>
  <c r="F14" i="1"/>
  <c r="H12" i="1"/>
  <c r="G12" i="1"/>
  <c r="F12" i="1"/>
  <c r="H46" i="1"/>
  <c r="H26" i="1"/>
  <c r="F42" i="1"/>
  <c r="F22" i="1"/>
  <c r="F20" i="1"/>
  <c r="H52" i="1"/>
  <c r="H51" i="1"/>
  <c r="H50" i="1"/>
  <c r="H49" i="1"/>
  <c r="H47" i="1"/>
  <c r="H45" i="1"/>
  <c r="H44" i="1"/>
  <c r="H43" i="1"/>
  <c r="H42" i="1"/>
  <c r="H41" i="1"/>
  <c r="H38" i="1"/>
  <c r="H37" i="1"/>
  <c r="H36" i="1"/>
  <c r="H31" i="1"/>
  <c r="H30" i="1"/>
  <c r="H29" i="1"/>
  <c r="G26" i="1"/>
  <c r="H25" i="1"/>
  <c r="H24" i="1"/>
  <c r="H23" i="1"/>
  <c r="H22" i="1"/>
  <c r="H21" i="1"/>
  <c r="H20" i="1"/>
  <c r="H19" i="1"/>
  <c r="H17" i="1"/>
  <c r="H16" i="1"/>
  <c r="H15" i="1"/>
  <c r="H13" i="1"/>
  <c r="H11" i="1"/>
  <c r="G52" i="1"/>
  <c r="G51" i="1"/>
  <c r="G50" i="1"/>
  <c r="G49" i="1"/>
  <c r="G47" i="1"/>
  <c r="G46" i="1"/>
  <c r="G45" i="1"/>
  <c r="G44" i="1"/>
  <c r="G43" i="1"/>
  <c r="G42" i="1"/>
  <c r="G41" i="1"/>
  <c r="G38" i="1"/>
  <c r="G37" i="1"/>
  <c r="G36" i="1"/>
  <c r="G31" i="1"/>
  <c r="G30" i="1"/>
  <c r="G29" i="1"/>
  <c r="G25" i="1"/>
  <c r="G24" i="1"/>
  <c r="G23" i="1"/>
  <c r="G22" i="1"/>
  <c r="G21" i="1"/>
  <c r="G20" i="1"/>
  <c r="G19" i="1"/>
  <c r="G17" i="1"/>
  <c r="G16" i="1"/>
  <c r="G15" i="1"/>
  <c r="G13" i="1"/>
  <c r="F13" i="1"/>
  <c r="F11" i="1"/>
  <c r="G11" i="1"/>
  <c r="F52" i="1" l="1"/>
  <c r="F51" i="1"/>
  <c r="F50" i="1"/>
  <c r="F49" i="1"/>
  <c r="F47" i="1"/>
  <c r="F46" i="1"/>
  <c r="F45" i="1"/>
  <c r="F44" i="1"/>
  <c r="F43" i="1"/>
  <c r="F41" i="1"/>
  <c r="F38" i="1"/>
  <c r="F37" i="1"/>
  <c r="F36" i="1"/>
  <c r="F31" i="1"/>
  <c r="F30" i="1"/>
  <c r="F29" i="1"/>
  <c r="F26" i="1"/>
  <c r="F25" i="1"/>
  <c r="F24" i="1"/>
  <c r="F23" i="1"/>
  <c r="F21" i="1"/>
  <c r="F19" i="1"/>
  <c r="F17" i="1"/>
  <c r="F16" i="1"/>
  <c r="F15" i="1"/>
  <c r="I47" i="1" l="1"/>
  <c r="J47" i="1" s="1"/>
  <c r="K47" i="1"/>
  <c r="I48" i="1"/>
  <c r="J48" i="1" s="1"/>
  <c r="K48" i="1"/>
  <c r="I49" i="1"/>
  <c r="AD49" i="1" s="1"/>
  <c r="AE49" i="1" s="1"/>
  <c r="K49" i="1"/>
  <c r="I50" i="1"/>
  <c r="J50" i="1" s="1"/>
  <c r="K50" i="1"/>
  <c r="I51" i="1"/>
  <c r="J51" i="1" s="1"/>
  <c r="K51" i="1"/>
  <c r="I52" i="1"/>
  <c r="J52" i="1" s="1"/>
  <c r="K52" i="1"/>
  <c r="K46" i="1"/>
  <c r="I46" i="1"/>
  <c r="AD46" i="1" s="1"/>
  <c r="AE46" i="1" s="1"/>
  <c r="AD48" i="1" l="1"/>
  <c r="AE48" i="1" s="1"/>
  <c r="AD52" i="1"/>
  <c r="AE52" i="1" s="1"/>
  <c r="AD50" i="1"/>
  <c r="AE50" i="1" s="1"/>
  <c r="AD51" i="1"/>
  <c r="AE51" i="1" s="1"/>
  <c r="J49" i="1"/>
  <c r="AD47" i="1"/>
  <c r="AE47" i="1" s="1"/>
  <c r="J46" i="1"/>
  <c r="K12" i="1"/>
  <c r="K13" i="1"/>
  <c r="K14" i="1"/>
  <c r="K15" i="1"/>
  <c r="K16" i="1"/>
  <c r="K17" i="1"/>
  <c r="K18" i="1"/>
  <c r="K19" i="1"/>
  <c r="K20" i="1"/>
  <c r="K21" i="1"/>
  <c r="K22" i="1"/>
  <c r="K23" i="1"/>
  <c r="K24" i="1"/>
  <c r="K25" i="1"/>
  <c r="K26" i="1"/>
  <c r="K27" i="1"/>
  <c r="K28" i="1"/>
  <c r="K29" i="1"/>
  <c r="K30" i="1"/>
  <c r="K31" i="1"/>
  <c r="K32" i="1"/>
  <c r="K33" i="1"/>
  <c r="K34" i="1"/>
  <c r="K35" i="1"/>
  <c r="K36" i="1"/>
  <c r="K37" i="1"/>
  <c r="K38" i="1"/>
  <c r="K39" i="1"/>
  <c r="K40" i="1"/>
  <c r="K41" i="1"/>
  <c r="K42" i="1"/>
  <c r="K43" i="1"/>
  <c r="K44" i="1"/>
  <c r="K45" i="1"/>
  <c r="I24" i="1"/>
  <c r="AD24" i="1" s="1"/>
  <c r="AE24" i="1" s="1"/>
  <c r="I12" i="1" l="1"/>
  <c r="AD12" i="1" s="1"/>
  <c r="AE12" i="1" s="1"/>
  <c r="I13" i="1"/>
  <c r="I14" i="1"/>
  <c r="AD14" i="1" s="1"/>
  <c r="AE14" i="1" s="1"/>
  <c r="I15" i="1"/>
  <c r="I16" i="1"/>
  <c r="AD16" i="1" s="1"/>
  <c r="AE16" i="1" s="1"/>
  <c r="I17" i="1"/>
  <c r="I18" i="1"/>
  <c r="AD18" i="1" s="1"/>
  <c r="AE18" i="1" s="1"/>
  <c r="I19" i="1"/>
  <c r="J19" i="1" s="1"/>
  <c r="I20" i="1"/>
  <c r="AD20" i="1" s="1"/>
  <c r="AE20" i="1" s="1"/>
  <c r="I21" i="1"/>
  <c r="J21" i="1" s="1"/>
  <c r="I22" i="1"/>
  <c r="AD22" i="1" s="1"/>
  <c r="AE22" i="1" s="1"/>
  <c r="I23" i="1"/>
  <c r="I25" i="1"/>
  <c r="I26" i="1"/>
  <c r="AD26" i="1" s="1"/>
  <c r="AE26" i="1" s="1"/>
  <c r="I27" i="1"/>
  <c r="I28" i="1"/>
  <c r="AD28" i="1" s="1"/>
  <c r="AE28" i="1" s="1"/>
  <c r="I29" i="1"/>
  <c r="I30" i="1"/>
  <c r="AD30" i="1" s="1"/>
  <c r="AE30" i="1" s="1"/>
  <c r="I31" i="1"/>
  <c r="I32" i="1"/>
  <c r="AD32" i="1" s="1"/>
  <c r="AE32" i="1" s="1"/>
  <c r="I33" i="1"/>
  <c r="I34" i="1"/>
  <c r="AD34" i="1" s="1"/>
  <c r="AE34" i="1" s="1"/>
  <c r="I35" i="1"/>
  <c r="I36" i="1"/>
  <c r="AD36" i="1" s="1"/>
  <c r="AE36" i="1" s="1"/>
  <c r="I37" i="1"/>
  <c r="I38" i="1"/>
  <c r="AD38" i="1" s="1"/>
  <c r="AE38" i="1" s="1"/>
  <c r="I39" i="1"/>
  <c r="I40" i="1"/>
  <c r="AD40" i="1" s="1"/>
  <c r="AE40" i="1" s="1"/>
  <c r="I41" i="1"/>
  <c r="I42" i="1"/>
  <c r="AD42" i="1" s="1"/>
  <c r="AE42" i="1" s="1"/>
  <c r="I43" i="1"/>
  <c r="I44" i="1"/>
  <c r="AD44" i="1" s="1"/>
  <c r="AE44" i="1" s="1"/>
  <c r="I45" i="1"/>
  <c r="J24" i="1"/>
  <c r="J22" i="1" l="1"/>
  <c r="J32" i="1"/>
  <c r="J40" i="1"/>
  <c r="J44" i="1"/>
  <c r="J36" i="1"/>
  <c r="J30" i="1"/>
  <c r="J28" i="1"/>
  <c r="J26" i="1"/>
  <c r="AD23" i="1"/>
  <c r="AE23" i="1" s="1"/>
  <c r="AD21" i="1"/>
  <c r="AE21" i="1" s="1"/>
  <c r="AD19" i="1"/>
  <c r="AE19" i="1" s="1"/>
  <c r="AD17" i="1"/>
  <c r="AE17" i="1" s="1"/>
  <c r="AD15" i="1"/>
  <c r="AE15" i="1" s="1"/>
  <c r="AD13" i="1"/>
  <c r="AE13" i="1" s="1"/>
  <c r="J42" i="1"/>
  <c r="J38" i="1"/>
  <c r="J34" i="1"/>
  <c r="AD45" i="1"/>
  <c r="AE45" i="1" s="1"/>
  <c r="AD43" i="1"/>
  <c r="AE43" i="1" s="1"/>
  <c r="AD41" i="1"/>
  <c r="AE41" i="1" s="1"/>
  <c r="AD39" i="1"/>
  <c r="AE39" i="1" s="1"/>
  <c r="AD37" i="1"/>
  <c r="AE37" i="1" s="1"/>
  <c r="AD35" i="1"/>
  <c r="AE35" i="1" s="1"/>
  <c r="AD33" i="1"/>
  <c r="AE33" i="1" s="1"/>
  <c r="AD31" i="1"/>
  <c r="AE31" i="1" s="1"/>
  <c r="AD29" i="1"/>
  <c r="AE29" i="1" s="1"/>
  <c r="AD27" i="1"/>
  <c r="AE27" i="1" s="1"/>
  <c r="AD25" i="1"/>
  <c r="AE25" i="1" s="1"/>
  <c r="J20" i="1"/>
  <c r="J45" i="1"/>
  <c r="J43" i="1"/>
  <c r="J41" i="1"/>
  <c r="J39" i="1"/>
  <c r="J37" i="1"/>
  <c r="J35" i="1"/>
  <c r="J33" i="1"/>
  <c r="J31" i="1"/>
  <c r="J29" i="1"/>
  <c r="J27" i="1"/>
  <c r="J25" i="1"/>
  <c r="J23" i="1"/>
  <c r="J17" i="1" l="1"/>
  <c r="J18" i="1"/>
  <c r="J15" i="1" l="1"/>
  <c r="J16" i="1"/>
  <c r="J14" i="1"/>
  <c r="J12" i="1"/>
  <c r="K11" i="1" l="1"/>
  <c r="I11" i="1"/>
  <c r="J11" i="1" s="1"/>
  <c r="M12" i="1"/>
  <c r="J13" i="1"/>
  <c r="AD11" i="1" l="1"/>
  <c r="M11" i="1"/>
  <c r="M53" i="1" s="1"/>
  <c r="AE11" i="1" l="1"/>
  <c r="AE53" i="1" s="1"/>
  <c r="H54" i="1" s="1"/>
</calcChain>
</file>

<file path=xl/sharedStrings.xml><?xml version="1.0" encoding="utf-8"?>
<sst xmlns="http://schemas.openxmlformats.org/spreadsheetml/2006/main" count="184" uniqueCount="82">
  <si>
    <t>Наименование товара, услуги (работы)</t>
  </si>
  <si>
    <t>Кол-во</t>
  </si>
  <si>
    <t>Итого:</t>
  </si>
  <si>
    <t>7</t>
  </si>
  <si>
    <t>Начальная цена единицы медицинского изделия (НЦЕ)  с НДС, рублей</t>
  </si>
  <si>
    <t>Цена без НДС за единицу (руб.)/источники ценовой информации</t>
  </si>
  <si>
    <t>№ п/п</t>
  </si>
  <si>
    <t>Ед. изм.</t>
  </si>
  <si>
    <t>Однородность совокупности значений выявленных цен, используемых в расчете начальной цены единицы медицинского изделия</t>
  </si>
  <si>
    <t>Ставка НДС, %</t>
  </si>
  <si>
    <t xml:space="preserve">Средневзвешенная цена за единицу, без НДС, рублей &lt;ц&gt; </t>
  </si>
  <si>
    <t>Среднее квадратичное отклонение</t>
  </si>
  <si>
    <t xml:space="preserve">Заказчиком было направлены запросы о предоставлении ценовой информации 5-ти поставщикам (подрядчикам, исполнителям), обладающим опытом поставок соответствующих товаров, работ, услуг, информация о которых имеется в свободном доступе (в частности, опубликована в печати, размещена на сайтах в сети "Интернет")
Ответы на запрос получены от 3 поставщиков.
</t>
  </si>
  <si>
    <t xml:space="preserve">Определение и обоснование начальной цены единицы медицинского изделия (НЦЕ) (п.24 ст.22 44-ФЗ)
Порядок формирования заказчиком начальной (максимальной) цены контракта: начальная цена единицы товара сформирована Заказчиком в соответствии с требованиями п.1 ч.1 ст. 22 Закона о Контрактной системе и приказом Министерства здравоохранения Российской Федерации от 15.05.2020 N 450н «Об утверждении порядка определения начальной (максимальной) цены контракта, цены контракта, заключаемого с единственным поставщиком (подрядчиком, исполнителем), и начальной цены единицы товара, работы, услуги при осуществлении закупок медицинских изделий»  методом сопоставимых рыночных цен (анализа рынка)
</t>
  </si>
  <si>
    <t>Расчет начальной (максимальной) цены контракта</t>
  </si>
  <si>
    <t>(начальной цены единицы товара, работы, услуги)</t>
  </si>
  <si>
    <r>
      <t xml:space="preserve">коэффициент вариации цен V (%) </t>
    </r>
    <r>
      <rPr>
        <i/>
        <sz val="10"/>
        <rFont val="Times New Roman"/>
        <family val="1"/>
        <charset val="204"/>
      </rPr>
      <t>(не должен превышать 33%)</t>
    </r>
  </si>
  <si>
    <t>Поставка расходных стоматологических изделий и материалов для СПб ГБУЗ «ДГП № 71»</t>
  </si>
  <si>
    <t xml:space="preserve">Поставщик 1 (Вх.№ 182от 26.04.24г.)
</t>
  </si>
  <si>
    <t xml:space="preserve">Поставщик 2 (Вх.№ 183 от 26.04.24г.)
</t>
  </si>
  <si>
    <t xml:space="preserve">Поставщик 3 (Вх.№ 184 от 26.04.24г.)
</t>
  </si>
  <si>
    <t>Всего сумма с НДС, руб.</t>
  </si>
  <si>
    <t>Стеклоиономерный цемент Стомафил (пор-к 3х10г А2, В3, С2+ 13мл жидкость), без кондиционера</t>
  </si>
  <si>
    <t xml:space="preserve">В результате проведенного расчета начальная сумма товара составила: </t>
  </si>
  <si>
    <t>рублей</t>
  </si>
  <si>
    <t>шт.</t>
  </si>
  <si>
    <t>упак.</t>
  </si>
  <si>
    <t>10%</t>
  </si>
  <si>
    <t>21.20.10.111</t>
  </si>
  <si>
    <t>21.20.24.180</t>
  </si>
  <si>
    <t>32.50.50.190</t>
  </si>
  <si>
    <r>
      <t>Начальная цена единицы изделия</t>
    </r>
    <r>
      <rPr>
        <b/>
        <sz val="10"/>
        <color rgb="FF000000"/>
        <rFont val="Times New Roman"/>
        <family val="1"/>
        <charset val="204"/>
      </rPr>
      <t xml:space="preserve"> (НЦЕ) с НДС, рублей</t>
    </r>
  </si>
  <si>
    <t>32.50.13.110</t>
  </si>
  <si>
    <t>ОКПД2</t>
  </si>
  <si>
    <t>Стеклоиономерный светоотверждаемый прокладочный материал Ионозит (Ionosit-Baseliner) (20шпр. х 0.33г)</t>
  </si>
  <si>
    <t>Наконечники для слюноотсоса, (100шт), прозрачные</t>
  </si>
  <si>
    <t>Жидкость противокариесная профилактическая Фторлак прозрачный, 13мл</t>
  </si>
  <si>
    <t>Однокомпонентная адгезивная система тотального протравливания (V поколение) Prime&amp;Bond One Etch and Rinse (3,5 мл)</t>
  </si>
  <si>
    <t>Универсальный адгезив Prime&amp;Bond UNIVERSAL (4 мл)</t>
  </si>
  <si>
    <t>Фартуки для пациента полиэтиленовые в рулоне 56 х76 см, (200шт.), синие</t>
  </si>
  <si>
    <t>Аппликаторы Clean+Safe №3, 100шт.</t>
  </si>
  <si>
    <t>Ватные валики №2 (38ммх10мм) (2000шт.)</t>
  </si>
  <si>
    <t>Светоотверждаемый текучий композит Дентлайт Флоу, 1шпр.* 2г, цвет А3</t>
  </si>
  <si>
    <t>14.12.30.190</t>
  </si>
  <si>
    <t>32.50.11.190</t>
  </si>
  <si>
    <t>21.20.24.150</t>
  </si>
  <si>
    <t>17.22.12.130</t>
  </si>
  <si>
    <t>32.50.13.190</t>
  </si>
  <si>
    <t>21.20.10.231</t>
  </si>
  <si>
    <t>Травекс 37 гель протравочный (3 шпр. х  3,5 мл)</t>
  </si>
  <si>
    <t>Светоотверждаемый текучий композит Дентлайт Флоу, (1шпр.* 2г), цвет А2</t>
  </si>
  <si>
    <t>Стеклоиномерный фиксирующий цемент Meron (35 г + 15 мл)</t>
  </si>
  <si>
    <t>Микрогибридный текучий композит Revolution Formula 2 (4шпр. х 1г) A2</t>
  </si>
  <si>
    <t>Самопротравливающий и самоадгезивный композитный цемент TotalCem А2, (8г+10 насадок+10 канюль)</t>
  </si>
  <si>
    <t>Cтеклоиономерный цемент для постоянной фиксации Fuji I (35г+20мл)</t>
  </si>
  <si>
    <t>Штифты стекловолоконные GLASSIX, №3, 6шт.</t>
  </si>
  <si>
    <t>Салфетки 2х-слойные одноразовые бумажно-полиэтиленовые (33х45 см), голубые, 500шт.</t>
  </si>
  <si>
    <t>Gradia Direct, шприц 4г, цвет A3</t>
  </si>
  <si>
    <t>Gradia Direct, шприц 4г, цвет A2</t>
  </si>
  <si>
    <t>Текучий светоотверждаемый композит Gradia Direct Flo (2шпр.х1,5г) цвет A2</t>
  </si>
  <si>
    <t>Ретрактор губ и щек OptraGate Size Small (1 шт)</t>
  </si>
  <si>
    <t>Ретрактор губ и щек OptraGate Size Junior (1 шт)</t>
  </si>
  <si>
    <t>Флюокаль-жидкость для лечения гиперестезии зубов и профилактики кариеса, 13 мл</t>
  </si>
  <si>
    <t>Анестогель-паста ДиСиЛан "Тутти-Фрутти", 30мл</t>
  </si>
  <si>
    <t>Материал стоматологический наногибридный универсальный композитный Harmonize Эмаль A2, шприц 4г</t>
  </si>
  <si>
    <t>Материал стоматологический наногибридный универсальный композитный Harmonize Эмаль A3, шприц 4г</t>
  </si>
  <si>
    <t>Материал стоматологический для пломбировки каналов Endomethasone N - набор (14г+10мл)</t>
  </si>
  <si>
    <t>Иглы карпульные Hogen Spitze 0.3х16мм (30Gх16mm), 100шт/уп.</t>
  </si>
  <si>
    <t>Иглы карпульные Hogen Spitze  0.4х35мм (27Gх35mm), 100шт/уп.</t>
  </si>
  <si>
    <t>Самоотверждаемый материал для временных коронок и мостов Structur 2 SC картридж A3 75гр с канюлями</t>
  </si>
  <si>
    <t>Самоотверждаемый материал для временных коронок и мостов Structur 2 SC картридж A2 75гр с канюлями</t>
  </si>
  <si>
    <t xml:space="preserve">Прокладки абсорбирующие стоматологические "NeoDrys" (50шт.), желтые, размер Small </t>
  </si>
  <si>
    <t xml:space="preserve">Прокладки абсорбирующие стоматологические "NeoDrys" (50шт.), синие, размер Large </t>
  </si>
  <si>
    <t>Порошок чистящий Air Flow Comfort, (300г), вкус: ЛИМОН</t>
  </si>
  <si>
    <t>Гранулы для нанесения препаратов Пеле Тим №2, 5мм, 1000шт.</t>
  </si>
  <si>
    <t>Паста полировочная Cleanic in Tube Green Apple вкус зеленого яблока с фтором, туба 100 г.</t>
  </si>
  <si>
    <t>Материал стоматологический пломбировочный IGOS Universal A3, шприц 4г</t>
  </si>
  <si>
    <t>Композитный светоотверждаемый материал DenFil, A2, (шпр.4г.)</t>
  </si>
  <si>
    <t>Бумажные штифты Dia-Pro, конус 06, 100шт./уп., №25</t>
  </si>
  <si>
    <t>Бумажные штифты Dia-Pro, конус 06, 100шт./уп., №30</t>
  </si>
  <si>
    <t>Препарат для девитализации пульпы без мышьяка Depulpin (3г.)</t>
  </si>
  <si>
    <t>ИКЗ: 242780211272078020100100020000000244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</si>
</sst>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0#########"/>
    <numFmt numFmtId="165" formatCode="#,##0.00_р_."/>
  </numFmts>
  <fonts count="9" x14ac:knownFonts="1">
    <font>
      <sz val="11"/>
      <color rgb="FF000000"/>
      <name val="Calibri"/>
      <charset val="204"/>
    </font>
    <font>
      <sz val="10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b/>
      <sz val="10"/>
      <color rgb="FF000000"/>
      <name val="Times New Roman"/>
      <family val="1"/>
      <charset val="204"/>
    </font>
    <font>
      <b/>
      <sz val="10"/>
      <name val="Times New Roman"/>
      <family val="1"/>
      <charset val="204"/>
    </font>
    <font>
      <i/>
      <sz val="10"/>
      <name val="Times New Roman"/>
      <family val="1"/>
      <charset val="204"/>
    </font>
    <font>
      <sz val="10"/>
      <color theme="1"/>
      <name val="Times New Roman"/>
      <family val="1"/>
      <charset val="204"/>
    </font>
    <font>
      <b/>
      <sz val="11"/>
      <color rgb="FF000000"/>
      <name val="Calibri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</borders>
  <cellStyleXfs count="1">
    <xf numFmtId="0" fontId="0" fillId="0" borderId="0" applyAlignment="0"/>
  </cellStyleXfs>
  <cellXfs count="87">
    <xf numFmtId="0" fontId="0" fillId="0" borderId="0" xfId="0"/>
    <xf numFmtId="164" fontId="1" fillId="0" borderId="1" xfId="0" applyNumberFormat="1" applyFont="1" applyFill="1" applyBorder="1" applyAlignment="1">
      <alignment horizontal="center" vertical="center" wrapText="1"/>
    </xf>
    <xf numFmtId="4" fontId="2" fillId="0" borderId="1" xfId="0" applyNumberFormat="1" applyFont="1" applyFill="1" applyBorder="1" applyAlignment="1">
      <alignment horizontal="center" vertical="center"/>
    </xf>
    <xf numFmtId="0" fontId="2" fillId="0" borderId="0" xfId="0" applyFont="1" applyAlignment="1"/>
    <xf numFmtId="0" fontId="5" fillId="0" borderId="0" xfId="0" applyFont="1" applyAlignment="1">
      <alignment horizontal="right" vertical="center" wrapText="1"/>
    </xf>
    <xf numFmtId="2" fontId="1" fillId="0" borderId="0" xfId="0" applyNumberFormat="1" applyFont="1" applyAlignment="1"/>
    <xf numFmtId="0" fontId="1" fillId="0" borderId="0" xfId="0" applyFont="1"/>
    <xf numFmtId="0" fontId="2" fillId="0" borderId="0" xfId="0" applyFont="1"/>
    <xf numFmtId="2" fontId="1" fillId="0" borderId="0" xfId="0" applyNumberFormat="1" applyFont="1"/>
    <xf numFmtId="0" fontId="5" fillId="0" borderId="5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top" wrapText="1"/>
    </xf>
    <xf numFmtId="0" fontId="5" fillId="0" borderId="5" xfId="0" applyFont="1" applyFill="1" applyBorder="1" applyAlignment="1">
      <alignment horizontal="center" vertical="top" wrapText="1"/>
    </xf>
    <xf numFmtId="2" fontId="2" fillId="0" borderId="0" xfId="0" applyNumberFormat="1" applyFont="1"/>
    <xf numFmtId="2" fontId="2" fillId="0" borderId="0" xfId="0" applyNumberFormat="1" applyFont="1" applyAlignment="1"/>
    <xf numFmtId="49" fontId="5" fillId="0" borderId="5" xfId="0" applyNumberFormat="1" applyFont="1" applyBorder="1" applyAlignment="1">
      <alignment horizontal="center" vertical="center" wrapText="1"/>
    </xf>
    <xf numFmtId="0" fontId="5" fillId="0" borderId="10" xfId="0" applyFont="1" applyFill="1" applyBorder="1" applyAlignment="1">
      <alignment horizontal="center" vertical="center" wrapText="1"/>
    </xf>
    <xf numFmtId="0" fontId="5" fillId="0" borderId="6" xfId="0" applyFont="1" applyBorder="1" applyAlignment="1">
      <alignment horizontal="center"/>
    </xf>
    <xf numFmtId="165" fontId="1" fillId="0" borderId="4" xfId="0" applyNumberFormat="1" applyFont="1" applyFill="1" applyBorder="1" applyAlignment="1">
      <alignment horizontal="center" vertical="center" wrapText="1"/>
    </xf>
    <xf numFmtId="165" fontId="1" fillId="0" borderId="1" xfId="0" applyNumberFormat="1" applyFont="1" applyFill="1" applyBorder="1" applyAlignment="1">
      <alignment horizontal="center" vertical="center"/>
    </xf>
    <xf numFmtId="10" fontId="1" fillId="0" borderId="1" xfId="0" applyNumberFormat="1" applyFont="1" applyFill="1" applyBorder="1" applyAlignment="1">
      <alignment horizontal="center" vertical="center"/>
    </xf>
    <xf numFmtId="2" fontId="2" fillId="0" borderId="1" xfId="0" applyNumberFormat="1" applyFont="1" applyFill="1" applyBorder="1"/>
    <xf numFmtId="2" fontId="2" fillId="0" borderId="0" xfId="0" applyNumberFormat="1" applyFont="1" applyFill="1" applyBorder="1" applyAlignment="1"/>
    <xf numFmtId="0" fontId="2" fillId="0" borderId="0" xfId="0" applyFont="1" applyFill="1" applyBorder="1"/>
    <xf numFmtId="0" fontId="2" fillId="2" borderId="0" xfId="0" applyFont="1" applyFill="1"/>
    <xf numFmtId="165" fontId="1" fillId="0" borderId="5" xfId="0" applyNumberFormat="1" applyFont="1" applyFill="1" applyBorder="1" applyAlignment="1">
      <alignment horizontal="center" vertical="center"/>
    </xf>
    <xf numFmtId="10" fontId="1" fillId="0" borderId="5" xfId="0" applyNumberFormat="1" applyFont="1" applyFill="1" applyBorder="1" applyAlignment="1">
      <alignment horizontal="center" vertical="center"/>
    </xf>
    <xf numFmtId="2" fontId="2" fillId="0" borderId="5" xfId="0" applyNumberFormat="1" applyFont="1" applyFill="1" applyBorder="1"/>
    <xf numFmtId="165" fontId="5" fillId="0" borderId="8" xfId="0" applyNumberFormat="1" applyFont="1" applyFill="1" applyBorder="1" applyAlignment="1">
      <alignment horizontal="center" vertical="center" wrapText="1"/>
    </xf>
    <xf numFmtId="2" fontId="2" fillId="0" borderId="0" xfId="0" applyNumberFormat="1" applyFont="1" applyFill="1"/>
    <xf numFmtId="0" fontId="2" fillId="0" borderId="0" xfId="0" applyFont="1" applyBorder="1"/>
    <xf numFmtId="2" fontId="2" fillId="0" borderId="0" xfId="0" applyNumberFormat="1" applyFont="1" applyBorder="1" applyAlignment="1"/>
    <xf numFmtId="2" fontId="2" fillId="0" borderId="0" xfId="0" applyNumberFormat="1" applyFont="1" applyBorder="1"/>
    <xf numFmtId="0" fontId="1" fillId="0" borderId="0" xfId="0" applyFont="1" applyBorder="1" applyAlignment="1">
      <alignment horizontal="center" vertical="center" wrapText="1"/>
    </xf>
    <xf numFmtId="0" fontId="5" fillId="0" borderId="5" xfId="0" applyFont="1" applyFill="1" applyBorder="1" applyAlignment="1">
      <alignment horizontal="center" vertical="center" wrapText="1"/>
    </xf>
    <xf numFmtId="0" fontId="2" fillId="0" borderId="0" xfId="0" applyFont="1" applyFill="1"/>
    <xf numFmtId="2" fontId="1" fillId="0" borderId="1" xfId="0" applyNumberFormat="1" applyFont="1" applyFill="1" applyBorder="1"/>
    <xf numFmtId="0" fontId="1" fillId="0" borderId="0" xfId="0" applyFont="1" applyFill="1" applyBorder="1"/>
    <xf numFmtId="0" fontId="1" fillId="2" borderId="0" xfId="0" applyFont="1" applyFill="1"/>
    <xf numFmtId="2" fontId="2" fillId="0" borderId="9" xfId="0" applyNumberFormat="1" applyFont="1" applyFill="1" applyBorder="1" applyAlignment="1"/>
    <xf numFmtId="2" fontId="2" fillId="0" borderId="0" xfId="0" applyNumberFormat="1" applyFont="1" applyFill="1" applyAlignment="1"/>
    <xf numFmtId="4" fontId="2" fillId="0" borderId="0" xfId="0" applyNumberFormat="1" applyFont="1" applyFill="1" applyAlignment="1">
      <alignment horizontal="center" vertical="center"/>
    </xf>
    <xf numFmtId="4" fontId="1" fillId="0" borderId="0" xfId="0" applyNumberFormat="1" applyFont="1" applyFill="1" applyAlignment="1">
      <alignment horizontal="center" vertical="center"/>
    </xf>
    <xf numFmtId="0" fontId="1" fillId="0" borderId="2" xfId="0" applyFont="1" applyFill="1" applyBorder="1" applyAlignment="1">
      <alignment horizontal="center" vertical="center" wrapText="1"/>
    </xf>
    <xf numFmtId="0" fontId="5" fillId="0" borderId="0" xfId="0" applyFont="1" applyFill="1" applyAlignment="1">
      <alignment horizontal="right" vertical="top" wrapText="1"/>
    </xf>
    <xf numFmtId="0" fontId="2" fillId="0" borderId="0" xfId="0" applyFont="1" applyFill="1" applyBorder="1" applyAlignment="1">
      <alignment vertical="top"/>
    </xf>
    <xf numFmtId="0" fontId="2" fillId="0" borderId="0" xfId="0" applyFont="1" applyFill="1" applyAlignment="1">
      <alignment vertical="top"/>
    </xf>
    <xf numFmtId="0" fontId="3" fillId="0" borderId="6" xfId="0" applyFont="1" applyFill="1" applyBorder="1" applyAlignment="1">
      <alignment horizontal="center"/>
    </xf>
    <xf numFmtId="165" fontId="7" fillId="0" borderId="1" xfId="0" applyNumberFormat="1" applyFont="1" applyFill="1" applyBorder="1" applyAlignment="1">
      <alignment horizontal="center" vertical="center"/>
    </xf>
    <xf numFmtId="4" fontId="4" fillId="0" borderId="8" xfId="0" applyNumberFormat="1" applyFont="1" applyFill="1" applyBorder="1" applyAlignment="1">
      <alignment horizontal="center"/>
    </xf>
    <xf numFmtId="0" fontId="4" fillId="0" borderId="0" xfId="0" applyFont="1" applyAlignment="1">
      <alignment horizontal="left" vertical="center"/>
    </xf>
    <xf numFmtId="0" fontId="4" fillId="0" borderId="1" xfId="0" applyNumberFormat="1" applyFont="1" applyFill="1" applyBorder="1" applyAlignment="1">
      <alignment horizontal="center" vertical="center"/>
    </xf>
    <xf numFmtId="4" fontId="4" fillId="0" borderId="0" xfId="0" applyNumberFormat="1" applyFont="1" applyAlignment="1">
      <alignment horizontal="left" vertical="center"/>
    </xf>
    <xf numFmtId="2" fontId="1" fillId="0" borderId="1" xfId="0" applyNumberFormat="1" applyFont="1" applyBorder="1" applyAlignment="1">
      <alignment horizontal="center" vertical="center"/>
    </xf>
    <xf numFmtId="2" fontId="1" fillId="0" borderId="1" xfId="0" applyNumberFormat="1" applyFont="1" applyFill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9" fontId="2" fillId="0" borderId="11" xfId="0" applyNumberFormat="1" applyFont="1" applyBorder="1" applyAlignment="1">
      <alignment horizontal="center" vertical="center"/>
    </xf>
    <xf numFmtId="4" fontId="4" fillId="0" borderId="1" xfId="0" applyNumberFormat="1" applyFont="1" applyFill="1" applyBorder="1" applyAlignment="1">
      <alignment horizontal="center" vertical="center"/>
    </xf>
    <xf numFmtId="0" fontId="5" fillId="0" borderId="12" xfId="0" applyFont="1" applyFill="1" applyBorder="1" applyAlignment="1">
      <alignment horizontal="center" vertical="top" wrapText="1"/>
    </xf>
    <xf numFmtId="0" fontId="5" fillId="0" borderId="1" xfId="0" applyFont="1" applyFill="1" applyBorder="1" applyAlignment="1">
      <alignment horizontal="center" vertical="top" wrapText="1"/>
    </xf>
    <xf numFmtId="0" fontId="2" fillId="0" borderId="1" xfId="0" applyFont="1" applyBorder="1" applyAlignment="1">
      <alignment horizontal="center" vertical="top" wrapText="1"/>
    </xf>
    <xf numFmtId="2" fontId="2" fillId="0" borderId="0" xfId="0" applyNumberFormat="1" applyFont="1" applyFill="1" applyBorder="1"/>
    <xf numFmtId="0" fontId="5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4" fillId="0" borderId="0" xfId="0" applyFont="1" applyBorder="1" applyAlignment="1">
      <alignment horizontal="left" vertical="center" wrapText="1"/>
    </xf>
    <xf numFmtId="0" fontId="0" fillId="0" borderId="0" xfId="0" applyAlignment="1">
      <alignment horizontal="left" vertical="center"/>
    </xf>
    <xf numFmtId="0" fontId="5" fillId="0" borderId="5" xfId="0" applyFont="1" applyFill="1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4" fontId="4" fillId="0" borderId="5" xfId="0" applyNumberFormat="1" applyFont="1" applyFill="1" applyBorder="1" applyAlignment="1">
      <alignment horizontal="center" vertical="center" wrapText="1"/>
    </xf>
    <xf numFmtId="0" fontId="8" fillId="0" borderId="8" xfId="0" applyFont="1" applyBorder="1" applyAlignment="1">
      <alignment horizontal="center" vertical="center"/>
    </xf>
    <xf numFmtId="0" fontId="5" fillId="0" borderId="7" xfId="0" applyFont="1" applyFill="1" applyBorder="1" applyAlignment="1">
      <alignment horizontal="left" vertical="center" wrapText="1"/>
    </xf>
    <xf numFmtId="0" fontId="5" fillId="0" borderId="9" xfId="0" applyFont="1" applyFill="1" applyBorder="1" applyAlignment="1">
      <alignment horizontal="left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5" fillId="0" borderId="8" xfId="0" applyFont="1" applyFill="1" applyBorder="1" applyAlignment="1">
      <alignment horizontal="center" vertical="center" wrapText="1"/>
    </xf>
    <xf numFmtId="0" fontId="5" fillId="0" borderId="6" xfId="0" applyFont="1" applyFill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2" fontId="5" fillId="0" borderId="1" xfId="0" applyNumberFormat="1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top" wrapText="1"/>
    </xf>
    <xf numFmtId="0" fontId="1" fillId="0" borderId="4" xfId="0" applyFont="1" applyBorder="1" applyAlignment="1">
      <alignment horizontal="center" vertical="top" wrapText="1"/>
    </xf>
    <xf numFmtId="0" fontId="2" fillId="0" borderId="13" xfId="0" applyFont="1" applyBorder="1" applyAlignment="1">
      <alignment horizontal="left" vertical="top" wrapText="1"/>
    </xf>
    <xf numFmtId="0" fontId="2" fillId="0" borderId="1" xfId="0" applyFont="1" applyBorder="1" applyAlignment="1">
      <alignment vertical="center" wrapText="1"/>
    </xf>
    <xf numFmtId="0" fontId="2" fillId="0" borderId="5" xfId="0" applyFont="1" applyBorder="1" applyAlignment="1">
      <alignment vertical="center" wrapText="1"/>
    </xf>
    <xf numFmtId="0" fontId="2" fillId="0" borderId="4" xfId="0" applyFont="1" applyFill="1" applyBorder="1" applyAlignment="1">
      <alignment horizontal="center" vertical="top" wrapText="1"/>
    </xf>
  </cellXfs>
  <cellStyles count="1">
    <cellStyle name="Обычный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6600"/>
      <rgbColor rgb="00000080"/>
      <rgbColor rgb="009966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DDDDDD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CC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C9211E"/>
      <rgbColor rgb="00993366"/>
      <rgbColor rgb="00333399"/>
      <rgbColor rgb="00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uri="{9260A510-F301-46a8-8635-F512D64BE5F5}">
      <x15:timelineStyles xmlns:x15="http://schemas.microsoft.com/office/spreadsheetml/2010/11/main"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wmf"/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136979</xdr:colOff>
      <xdr:row>8</xdr:row>
      <xdr:rowOff>819452</xdr:rowOff>
    </xdr:from>
    <xdr:to>
      <xdr:col>10</xdr:col>
      <xdr:colOff>733425</xdr:colOff>
      <xdr:row>8</xdr:row>
      <xdr:rowOff>1171877</xdr:rowOff>
    </xdr:to>
    <xdr:pic>
      <xdr:nvPicPr>
        <xdr:cNvPr id="5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490404" y="4315127"/>
          <a:ext cx="596446" cy="3524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9</xdr:col>
      <xdr:colOff>35983</xdr:colOff>
      <xdr:row>8</xdr:row>
      <xdr:rowOff>632279</xdr:rowOff>
    </xdr:from>
    <xdr:to>
      <xdr:col>9</xdr:col>
      <xdr:colOff>893233</xdr:colOff>
      <xdr:row>8</xdr:row>
      <xdr:rowOff>1070429</xdr:rowOff>
    </xdr:to>
    <xdr:pic>
      <xdr:nvPicPr>
        <xdr:cNvPr id="6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6312958" y="2661104"/>
          <a:ext cx="857250" cy="438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oneCellAnchor>
    <xdr:from>
      <xdr:col>12</xdr:col>
      <xdr:colOff>455083</xdr:colOff>
      <xdr:row>52</xdr:row>
      <xdr:rowOff>0</xdr:rowOff>
    </xdr:from>
    <xdr:ext cx="184731" cy="264560"/>
    <xdr:sp macro="" textlink="">
      <xdr:nvSpPr>
        <xdr:cNvPr id="7" name="TextBox 6"/>
        <xdr:cNvSpPr txBox="1"/>
      </xdr:nvSpPr>
      <xdr:spPr>
        <a:xfrm>
          <a:off x="9151408" y="7820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ru-RU" sz="1100"/>
        </a:p>
      </xdr:txBody>
    </xdr:sp>
    <xdr:clientData/>
  </xdr:oneCellAnchor>
  <xdr:oneCellAnchor>
    <xdr:from>
      <xdr:col>12</xdr:col>
      <xdr:colOff>455083</xdr:colOff>
      <xdr:row>52</xdr:row>
      <xdr:rowOff>0</xdr:rowOff>
    </xdr:from>
    <xdr:ext cx="184731" cy="264560"/>
    <xdr:sp macro="" textlink="">
      <xdr:nvSpPr>
        <xdr:cNvPr id="8" name="TextBox 7"/>
        <xdr:cNvSpPr txBox="1"/>
      </xdr:nvSpPr>
      <xdr:spPr>
        <a:xfrm>
          <a:off x="9151408" y="7820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ru-RU" sz="1100"/>
        </a:p>
      </xdr:txBody>
    </xdr:sp>
    <xdr:clientData/>
  </xdr:oneCellAnchor>
  <xdr:oneCellAnchor>
    <xdr:from>
      <xdr:col>12</xdr:col>
      <xdr:colOff>455083</xdr:colOff>
      <xdr:row>52</xdr:row>
      <xdr:rowOff>0</xdr:rowOff>
    </xdr:from>
    <xdr:ext cx="184731" cy="264560"/>
    <xdr:sp macro="" textlink="">
      <xdr:nvSpPr>
        <xdr:cNvPr id="9" name="TextBox 8"/>
        <xdr:cNvSpPr txBox="1"/>
      </xdr:nvSpPr>
      <xdr:spPr>
        <a:xfrm>
          <a:off x="9151408" y="7820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ru-RU" sz="1100"/>
        </a:p>
      </xdr:txBody>
    </xdr:sp>
    <xdr:clientData/>
  </xdr:oneCellAnchor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F60"/>
  <sheetViews>
    <sheetView tabSelected="1" zoomScaleNormal="100" workbookViewId="0">
      <selection activeCell="A5" sqref="A5:AD5"/>
    </sheetView>
  </sheetViews>
  <sheetFormatPr defaultColWidth="11.5703125" defaultRowHeight="12.75" x14ac:dyDescent="0.2"/>
  <cols>
    <col min="1" max="1" width="4.28515625" style="7" customWidth="1"/>
    <col min="2" max="2" width="20.7109375" style="45" customWidth="1"/>
    <col min="3" max="3" width="17.42578125" style="45" customWidth="1"/>
    <col min="4" max="4" width="6.85546875" style="7" customWidth="1"/>
    <col min="5" max="5" width="7.140625" style="7" customWidth="1"/>
    <col min="6" max="6" width="11.140625" style="7" customWidth="1"/>
    <col min="7" max="7" width="11" style="7" customWidth="1"/>
    <col min="8" max="8" width="10.85546875" style="13" customWidth="1"/>
    <col min="9" max="9" width="16" style="13" customWidth="1"/>
    <col min="10" max="10" width="13.42578125" style="12" customWidth="1"/>
    <col min="11" max="11" width="12.5703125" style="12" customWidth="1"/>
    <col min="12" max="28" width="22" style="12" hidden="1" customWidth="1"/>
    <col min="29" max="29" width="7.28515625" style="39" customWidth="1"/>
    <col min="30" max="30" width="13.42578125" style="39" customWidth="1"/>
    <col min="31" max="31" width="11" style="40" customWidth="1"/>
    <col min="32" max="32" width="9.7109375" style="13" customWidth="1"/>
    <col min="33" max="34" width="9.5703125" style="7" customWidth="1"/>
    <col min="35" max="66" width="9.140625" style="7" customWidth="1"/>
    <col min="67" max="16384" width="11.5703125" style="7"/>
  </cols>
  <sheetData>
    <row r="1" spans="1:58" s="3" customFormat="1" x14ac:dyDescent="0.2">
      <c r="A1" s="4"/>
      <c r="B1" s="43"/>
      <c r="C1" s="43"/>
      <c r="D1" s="4"/>
      <c r="E1" s="4"/>
      <c r="F1" s="4"/>
      <c r="G1" s="4"/>
      <c r="H1" s="4"/>
      <c r="I1" s="4"/>
      <c r="J1" s="61" t="s">
        <v>81</v>
      </c>
      <c r="K1" s="61"/>
      <c r="L1" s="61"/>
      <c r="M1" s="61"/>
      <c r="N1" s="61"/>
      <c r="O1" s="61"/>
      <c r="P1" s="61"/>
      <c r="Q1" s="61"/>
      <c r="R1" s="61"/>
      <c r="S1" s="61"/>
      <c r="T1" s="61"/>
      <c r="U1" s="61"/>
      <c r="V1" s="61"/>
      <c r="W1" s="61"/>
      <c r="X1" s="61"/>
      <c r="Y1" s="61"/>
      <c r="Z1" s="61"/>
      <c r="AA1" s="61"/>
      <c r="AB1" s="61"/>
      <c r="AC1" s="61"/>
      <c r="AD1" s="61"/>
      <c r="AE1" s="40"/>
    </row>
    <row r="2" spans="1:58" s="3" customFormat="1" ht="16.5" customHeight="1" x14ac:dyDescent="0.2">
      <c r="A2" s="61" t="s">
        <v>14</v>
      </c>
      <c r="B2" s="61"/>
      <c r="C2" s="61"/>
      <c r="D2" s="61"/>
      <c r="E2" s="61"/>
      <c r="F2" s="61"/>
      <c r="G2" s="61"/>
      <c r="H2" s="61"/>
      <c r="I2" s="61"/>
      <c r="J2" s="61"/>
      <c r="K2" s="61"/>
      <c r="L2" s="61"/>
      <c r="M2" s="61"/>
      <c r="N2" s="61"/>
      <c r="O2" s="61"/>
      <c r="P2" s="61"/>
      <c r="Q2" s="61"/>
      <c r="R2" s="61"/>
      <c r="S2" s="61"/>
      <c r="T2" s="61"/>
      <c r="U2" s="61"/>
      <c r="V2" s="61"/>
      <c r="W2" s="61"/>
      <c r="X2" s="61"/>
      <c r="Y2" s="61"/>
      <c r="Z2" s="61"/>
      <c r="AA2" s="61"/>
      <c r="AB2" s="61"/>
      <c r="AC2" s="61"/>
      <c r="AD2" s="61"/>
      <c r="AE2" s="40"/>
    </row>
    <row r="3" spans="1:58" s="3" customFormat="1" ht="14.25" customHeight="1" x14ac:dyDescent="0.2">
      <c r="A3" s="61" t="s">
        <v>15</v>
      </c>
      <c r="B3" s="61"/>
      <c r="C3" s="61"/>
      <c r="D3" s="61"/>
      <c r="E3" s="61"/>
      <c r="F3" s="61"/>
      <c r="G3" s="61"/>
      <c r="H3" s="61"/>
      <c r="I3" s="61"/>
      <c r="J3" s="61"/>
      <c r="K3" s="61"/>
      <c r="L3" s="61"/>
      <c r="M3" s="61"/>
      <c r="N3" s="61"/>
      <c r="O3" s="61"/>
      <c r="P3" s="61"/>
      <c r="Q3" s="61"/>
      <c r="R3" s="61"/>
      <c r="S3" s="61"/>
      <c r="T3" s="61"/>
      <c r="U3" s="61"/>
      <c r="V3" s="61"/>
      <c r="W3" s="61"/>
      <c r="X3" s="61"/>
      <c r="Y3" s="61"/>
      <c r="Z3" s="61"/>
      <c r="AA3" s="61"/>
      <c r="AB3" s="61"/>
      <c r="AC3" s="61"/>
      <c r="AD3" s="61"/>
      <c r="AE3" s="40"/>
    </row>
    <row r="4" spans="1:58" s="3" customFormat="1" x14ac:dyDescent="0.2">
      <c r="A4" s="61" t="s">
        <v>17</v>
      </c>
      <c r="B4" s="61"/>
      <c r="C4" s="61"/>
      <c r="D4" s="61"/>
      <c r="E4" s="61"/>
      <c r="F4" s="61"/>
      <c r="G4" s="61"/>
      <c r="H4" s="61"/>
      <c r="I4" s="61"/>
      <c r="J4" s="61"/>
      <c r="K4" s="61"/>
      <c r="L4" s="61"/>
      <c r="M4" s="61"/>
      <c r="N4" s="61"/>
      <c r="O4" s="61"/>
      <c r="P4" s="61"/>
      <c r="Q4" s="61"/>
      <c r="R4" s="61"/>
      <c r="S4" s="61"/>
      <c r="T4" s="61"/>
      <c r="U4" s="61"/>
      <c r="V4" s="61"/>
      <c r="W4" s="61"/>
      <c r="X4" s="61"/>
      <c r="Y4" s="61"/>
      <c r="Z4" s="61"/>
      <c r="AA4" s="61"/>
      <c r="AB4" s="61"/>
      <c r="AC4" s="61"/>
      <c r="AD4" s="61"/>
      <c r="AE4" s="40"/>
    </row>
    <row r="5" spans="1:58" ht="75.75" customHeight="1" x14ac:dyDescent="0.2">
      <c r="A5" s="62" t="s">
        <v>13</v>
      </c>
      <c r="B5" s="62"/>
      <c r="C5" s="62"/>
      <c r="D5" s="62"/>
      <c r="E5" s="62"/>
      <c r="F5" s="62"/>
      <c r="G5" s="62"/>
      <c r="H5" s="62"/>
      <c r="I5" s="62"/>
      <c r="J5" s="62"/>
      <c r="K5" s="62"/>
      <c r="L5" s="62"/>
      <c r="M5" s="62"/>
      <c r="N5" s="62"/>
      <c r="O5" s="62"/>
      <c r="P5" s="62"/>
      <c r="Q5" s="62"/>
      <c r="R5" s="62"/>
      <c r="S5" s="62"/>
      <c r="T5" s="62"/>
      <c r="U5" s="62"/>
      <c r="V5" s="62"/>
      <c r="W5" s="62"/>
      <c r="X5" s="62"/>
      <c r="Y5" s="62"/>
      <c r="Z5" s="62"/>
      <c r="AA5" s="62"/>
      <c r="AB5" s="62"/>
      <c r="AC5" s="62"/>
      <c r="AD5" s="62"/>
      <c r="AE5" s="41"/>
      <c r="AF5" s="5"/>
      <c r="AG5" s="6"/>
    </row>
    <row r="6" spans="1:58" ht="49.5" customHeight="1" x14ac:dyDescent="0.2">
      <c r="A6" s="62" t="s">
        <v>12</v>
      </c>
      <c r="B6" s="62"/>
      <c r="C6" s="62"/>
      <c r="D6" s="62"/>
      <c r="E6" s="62"/>
      <c r="F6" s="62"/>
      <c r="G6" s="62"/>
      <c r="H6" s="62"/>
      <c r="I6" s="62"/>
      <c r="J6" s="62"/>
      <c r="K6" s="62"/>
      <c r="L6" s="62"/>
      <c r="M6" s="62"/>
      <c r="N6" s="62"/>
      <c r="O6" s="62"/>
      <c r="P6" s="62"/>
      <c r="Q6" s="62"/>
      <c r="R6" s="62"/>
      <c r="S6" s="62"/>
      <c r="T6" s="62"/>
      <c r="U6" s="62"/>
      <c r="V6" s="62"/>
      <c r="W6" s="62"/>
      <c r="X6" s="62"/>
      <c r="Y6" s="62"/>
      <c r="Z6" s="62"/>
      <c r="AA6" s="62"/>
      <c r="AB6" s="62"/>
      <c r="AC6" s="62"/>
      <c r="AD6" s="62"/>
      <c r="AE6" s="41"/>
      <c r="AF6" s="5"/>
      <c r="AG6" s="6"/>
    </row>
    <row r="7" spans="1:58" ht="6.75" hidden="1" customHeight="1" x14ac:dyDescent="0.2">
      <c r="A7" s="62"/>
      <c r="B7" s="62"/>
      <c r="C7" s="62"/>
      <c r="D7" s="62"/>
      <c r="E7" s="62"/>
      <c r="F7" s="62"/>
      <c r="G7" s="62"/>
      <c r="H7" s="62"/>
      <c r="I7" s="62"/>
      <c r="J7" s="62"/>
      <c r="K7" s="62"/>
      <c r="L7" s="62"/>
      <c r="M7" s="62"/>
      <c r="N7" s="62"/>
      <c r="O7" s="62"/>
      <c r="P7" s="62"/>
      <c r="Q7" s="62"/>
      <c r="R7" s="62"/>
      <c r="S7" s="62"/>
      <c r="T7" s="62"/>
      <c r="U7" s="62"/>
      <c r="V7" s="62"/>
      <c r="W7" s="62"/>
      <c r="X7" s="62"/>
      <c r="Y7" s="62"/>
      <c r="Z7" s="62"/>
      <c r="AA7" s="62"/>
      <c r="AB7" s="62"/>
      <c r="AC7" s="62"/>
      <c r="AD7" s="62"/>
      <c r="AE7" s="41"/>
      <c r="AF7" s="5"/>
      <c r="AG7" s="6"/>
    </row>
    <row r="8" spans="1:58" ht="49.5" customHeight="1" x14ac:dyDescent="0.2">
      <c r="A8" s="71" t="s">
        <v>6</v>
      </c>
      <c r="B8" s="65" t="s">
        <v>0</v>
      </c>
      <c r="C8" s="65" t="s">
        <v>33</v>
      </c>
      <c r="D8" s="65" t="s">
        <v>7</v>
      </c>
      <c r="E8" s="65" t="s">
        <v>1</v>
      </c>
      <c r="F8" s="74" t="s">
        <v>5</v>
      </c>
      <c r="G8" s="75"/>
      <c r="H8" s="76"/>
      <c r="I8" s="77" t="s">
        <v>8</v>
      </c>
      <c r="J8" s="77"/>
      <c r="K8" s="77"/>
      <c r="L8" s="77" t="s">
        <v>9</v>
      </c>
      <c r="M8" s="78" t="s">
        <v>4</v>
      </c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77" t="s">
        <v>9</v>
      </c>
      <c r="AD8" s="80" t="s">
        <v>31</v>
      </c>
      <c r="AE8" s="67" t="s">
        <v>21</v>
      </c>
      <c r="AF8" s="5"/>
      <c r="AG8" s="6"/>
    </row>
    <row r="9" spans="1:58" ht="93.75" customHeight="1" x14ac:dyDescent="0.2">
      <c r="A9" s="65"/>
      <c r="B9" s="72"/>
      <c r="C9" s="66"/>
      <c r="D9" s="79"/>
      <c r="E9" s="73"/>
      <c r="F9" s="1" t="s">
        <v>18</v>
      </c>
      <c r="G9" s="1" t="s">
        <v>19</v>
      </c>
      <c r="H9" s="1" t="s">
        <v>20</v>
      </c>
      <c r="I9" s="9" t="s">
        <v>10</v>
      </c>
      <c r="J9" s="10" t="s">
        <v>11</v>
      </c>
      <c r="K9" s="11" t="s">
        <v>16</v>
      </c>
      <c r="L9" s="77"/>
      <c r="M9" s="78"/>
      <c r="AC9" s="77"/>
      <c r="AD9" s="80"/>
      <c r="AE9" s="68"/>
    </row>
    <row r="10" spans="1:58" x14ac:dyDescent="0.2">
      <c r="A10" s="33">
        <v>1</v>
      </c>
      <c r="B10" s="57">
        <v>2</v>
      </c>
      <c r="C10" s="58">
        <v>3</v>
      </c>
      <c r="D10" s="33">
        <v>4</v>
      </c>
      <c r="E10" s="33">
        <v>5</v>
      </c>
      <c r="F10" s="9">
        <v>6</v>
      </c>
      <c r="G10" s="14" t="s">
        <v>3</v>
      </c>
      <c r="H10" s="9">
        <v>8</v>
      </c>
      <c r="I10" s="9">
        <v>9</v>
      </c>
      <c r="J10" s="9">
        <v>10</v>
      </c>
      <c r="K10" s="33">
        <v>11</v>
      </c>
      <c r="L10" s="15">
        <v>10</v>
      </c>
      <c r="M10" s="16">
        <v>11</v>
      </c>
      <c r="AC10" s="15">
        <v>12</v>
      </c>
      <c r="AD10" s="46">
        <v>13</v>
      </c>
      <c r="AE10" s="50">
        <v>14</v>
      </c>
    </row>
    <row r="11" spans="1:58" ht="64.5" customHeight="1" x14ac:dyDescent="0.2">
      <c r="A11" s="42">
        <v>1</v>
      </c>
      <c r="B11" s="83" t="s">
        <v>34</v>
      </c>
      <c r="C11" s="59" t="s">
        <v>30</v>
      </c>
      <c r="D11" s="52" t="s">
        <v>26</v>
      </c>
      <c r="E11" s="52">
        <v>1</v>
      </c>
      <c r="F11" s="52">
        <f>ROUND((5928/1.1),2)</f>
        <v>5389.09</v>
      </c>
      <c r="G11" s="52">
        <f>ROUND((6094/1.1),2)</f>
        <v>5540</v>
      </c>
      <c r="H11" s="52">
        <f>ROUND((6260/1.1),2)</f>
        <v>5690.91</v>
      </c>
      <c r="I11" s="17">
        <f>ROUND((AVERAGEA(F11:H11)),2)</f>
        <v>5540</v>
      </c>
      <c r="J11" s="18">
        <f t="shared" ref="J11:J45" si="0">SQRT(((SUM((POWER(H11-I11,2)),(POWER(G11-I11,2)),(POWER(F11-I11,2)))/(COLUMNS(F11:H11)-1))))</f>
        <v>150.90999999999985</v>
      </c>
      <c r="K11" s="19">
        <f>STDEV(F11:H11)/AVERAGEA(F11:H11)</f>
        <v>2.7240072202166038E-2</v>
      </c>
      <c r="L11" s="19">
        <v>0.1</v>
      </c>
      <c r="M11" s="18">
        <f>ROUND((I11*L11),2)+I11</f>
        <v>6094</v>
      </c>
      <c r="N11" s="20"/>
      <c r="O11" s="20"/>
      <c r="P11" s="20"/>
      <c r="Q11" s="20"/>
      <c r="R11" s="20"/>
      <c r="S11" s="20"/>
      <c r="T11" s="20"/>
      <c r="U11" s="20"/>
      <c r="V11" s="20"/>
      <c r="W11" s="20"/>
      <c r="X11" s="20"/>
      <c r="Y11" s="20"/>
      <c r="Z11" s="20"/>
      <c r="AA11" s="20"/>
      <c r="AB11" s="20"/>
      <c r="AC11" s="54" t="s">
        <v>27</v>
      </c>
      <c r="AD11" s="47">
        <f>ROUND((I11*AC11),2)+I11</f>
        <v>6094</v>
      </c>
      <c r="AE11" s="2">
        <f>AD11*E11</f>
        <v>6094</v>
      </c>
      <c r="AF11" s="21"/>
      <c r="AG11" s="60"/>
      <c r="AH11" s="60"/>
      <c r="AI11" s="22"/>
      <c r="AJ11" s="22"/>
      <c r="AK11" s="22"/>
      <c r="AL11" s="22"/>
      <c r="AM11" s="22"/>
      <c r="AN11" s="22"/>
      <c r="AO11" s="22"/>
      <c r="AP11" s="22"/>
      <c r="AQ11" s="22"/>
      <c r="AR11" s="22"/>
      <c r="AS11" s="22"/>
      <c r="AT11" s="22"/>
      <c r="AU11" s="22"/>
      <c r="AV11" s="22"/>
      <c r="AW11" s="22"/>
      <c r="AX11" s="22"/>
      <c r="AY11" s="22"/>
      <c r="AZ11" s="22"/>
      <c r="BA11" s="22"/>
      <c r="BB11" s="22"/>
      <c r="BC11" s="22"/>
      <c r="BD11" s="22"/>
      <c r="BE11" s="22"/>
      <c r="BF11" s="22"/>
    </row>
    <row r="12" spans="1:58" s="34" customFormat="1" ht="39.75" customHeight="1" x14ac:dyDescent="0.2">
      <c r="A12" s="42">
        <v>2</v>
      </c>
      <c r="B12" s="84" t="s">
        <v>49</v>
      </c>
      <c r="C12" s="81" t="s">
        <v>28</v>
      </c>
      <c r="D12" s="52" t="s">
        <v>26</v>
      </c>
      <c r="E12" s="53">
        <v>1</v>
      </c>
      <c r="F12" s="53">
        <f>ROUND((473/1.1),2)</f>
        <v>430</v>
      </c>
      <c r="G12" s="52">
        <f>ROUND((486/1.1),2)</f>
        <v>441.82</v>
      </c>
      <c r="H12" s="53">
        <f>ROUND((499/1.1),2)</f>
        <v>453.64</v>
      </c>
      <c r="I12" s="17">
        <f t="shared" ref="I12:I45" si="1">ROUND((AVERAGEA(F12:H12)),2)</f>
        <v>441.82</v>
      </c>
      <c r="J12" s="18">
        <f t="shared" si="0"/>
        <v>11.819999999999993</v>
      </c>
      <c r="K12" s="19">
        <f t="shared" ref="K12:K45" si="2">STDEV(F12:H12)/AVERAGEA(F12:H12)</f>
        <v>2.6752976325200292E-2</v>
      </c>
      <c r="L12" s="19">
        <v>0.1</v>
      </c>
      <c r="M12" s="18">
        <f t="shared" ref="M12" si="3">ROUND((I12*L12),2)+I12</f>
        <v>486</v>
      </c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20"/>
      <c r="Y12" s="20"/>
      <c r="Z12" s="20"/>
      <c r="AA12" s="20"/>
      <c r="AB12" s="20"/>
      <c r="AC12" s="55">
        <v>0.1</v>
      </c>
      <c r="AD12" s="47">
        <f t="shared" ref="AD12:AD45" si="4">ROUND((I12*AC12),2)+I12</f>
        <v>486</v>
      </c>
      <c r="AE12" s="2">
        <f t="shared" ref="AE12:AE45" si="5">AD12*E12</f>
        <v>486</v>
      </c>
      <c r="AF12" s="21"/>
      <c r="AG12" s="60"/>
      <c r="AH12" s="60"/>
      <c r="AI12" s="22"/>
      <c r="AJ12" s="22"/>
      <c r="AK12" s="22"/>
      <c r="AL12" s="22"/>
      <c r="AM12" s="22"/>
      <c r="AN12" s="22"/>
      <c r="AO12" s="22"/>
      <c r="AP12" s="22"/>
      <c r="AQ12" s="22"/>
      <c r="AR12" s="22"/>
      <c r="AS12" s="22"/>
      <c r="AT12" s="22"/>
      <c r="AU12" s="22"/>
      <c r="AV12" s="22"/>
      <c r="AW12" s="22"/>
      <c r="AX12" s="22"/>
      <c r="AY12" s="22"/>
      <c r="AZ12" s="22"/>
      <c r="BA12" s="22"/>
      <c r="BB12" s="22"/>
      <c r="BC12" s="22"/>
      <c r="BD12" s="22"/>
      <c r="BE12" s="22"/>
      <c r="BF12" s="22"/>
    </row>
    <row r="13" spans="1:58" ht="42.75" customHeight="1" x14ac:dyDescent="0.2">
      <c r="A13" s="42">
        <v>3</v>
      </c>
      <c r="B13" s="84" t="s">
        <v>35</v>
      </c>
      <c r="C13" s="82" t="s">
        <v>32</v>
      </c>
      <c r="D13" s="52" t="s">
        <v>26</v>
      </c>
      <c r="E13" s="52">
        <v>50</v>
      </c>
      <c r="F13" s="52">
        <f>ROUND((219/1.1),2)</f>
        <v>199.09</v>
      </c>
      <c r="G13" s="52">
        <f>ROUND((226/1.1),2)</f>
        <v>205.45</v>
      </c>
      <c r="H13" s="53">
        <f>ROUND((232/1.1),2)</f>
        <v>210.91</v>
      </c>
      <c r="I13" s="17">
        <f t="shared" si="1"/>
        <v>205.15</v>
      </c>
      <c r="J13" s="18">
        <f t="shared" si="0"/>
        <v>5.9157079035395208</v>
      </c>
      <c r="K13" s="19">
        <f t="shared" si="2"/>
        <v>2.883601220345855E-2</v>
      </c>
      <c r="L13" s="19"/>
      <c r="M13" s="18"/>
      <c r="N13" s="20"/>
      <c r="O13" s="20"/>
      <c r="P13" s="20"/>
      <c r="Q13" s="20"/>
      <c r="R13" s="20"/>
      <c r="S13" s="20"/>
      <c r="T13" s="20"/>
      <c r="U13" s="20"/>
      <c r="V13" s="20"/>
      <c r="W13" s="20"/>
      <c r="X13" s="20"/>
      <c r="Y13" s="20"/>
      <c r="Z13" s="20"/>
      <c r="AA13" s="20"/>
      <c r="AB13" s="20"/>
      <c r="AC13" s="54" t="s">
        <v>27</v>
      </c>
      <c r="AD13" s="47">
        <f t="shared" si="4"/>
        <v>225.67000000000002</v>
      </c>
      <c r="AE13" s="2">
        <f t="shared" si="5"/>
        <v>11283.5</v>
      </c>
      <c r="AF13" s="21"/>
      <c r="AG13" s="60"/>
      <c r="AH13" s="60"/>
      <c r="AI13" s="22"/>
      <c r="AJ13" s="22"/>
      <c r="AK13" s="22"/>
      <c r="AL13" s="22"/>
      <c r="AM13" s="22"/>
      <c r="AN13" s="22"/>
      <c r="AO13" s="22"/>
      <c r="AP13" s="22"/>
      <c r="AQ13" s="22"/>
      <c r="AR13" s="22"/>
      <c r="AS13" s="22"/>
      <c r="AT13" s="22"/>
      <c r="AU13" s="22"/>
      <c r="AV13" s="22"/>
      <c r="AW13" s="22"/>
      <c r="AX13" s="22"/>
      <c r="AY13" s="22"/>
      <c r="AZ13" s="22"/>
      <c r="BA13" s="22"/>
      <c r="BB13" s="22"/>
      <c r="BC13" s="22"/>
      <c r="BD13" s="22"/>
      <c r="BE13" s="22"/>
      <c r="BF13" s="22"/>
    </row>
    <row r="14" spans="1:58" s="23" customFormat="1" ht="65.25" customHeight="1" x14ac:dyDescent="0.2">
      <c r="A14" s="42">
        <v>4</v>
      </c>
      <c r="B14" s="84" t="s">
        <v>36</v>
      </c>
      <c r="C14" s="81" t="s">
        <v>29</v>
      </c>
      <c r="D14" s="52" t="s">
        <v>26</v>
      </c>
      <c r="E14" s="52">
        <v>1</v>
      </c>
      <c r="F14" s="52">
        <f>ROUND((465/1.1),2)</f>
        <v>422.73</v>
      </c>
      <c r="G14" s="52">
        <f>ROUND((479/1.1),2)</f>
        <v>435.45</v>
      </c>
      <c r="H14" s="53">
        <f>ROUND((492/1.1),2)</f>
        <v>447.27</v>
      </c>
      <c r="I14" s="17">
        <f t="shared" si="1"/>
        <v>435.15</v>
      </c>
      <c r="J14" s="18">
        <f t="shared" si="0"/>
        <v>12.272750303008676</v>
      </c>
      <c r="K14" s="19">
        <f t="shared" si="2"/>
        <v>2.8203493744705675E-2</v>
      </c>
      <c r="L14" s="19"/>
      <c r="M14" s="18"/>
      <c r="N14" s="20"/>
      <c r="O14" s="20"/>
      <c r="P14" s="20"/>
      <c r="Q14" s="20"/>
      <c r="R14" s="20"/>
      <c r="S14" s="20"/>
      <c r="T14" s="20"/>
      <c r="U14" s="20"/>
      <c r="V14" s="20"/>
      <c r="W14" s="20"/>
      <c r="X14" s="20"/>
      <c r="Y14" s="20"/>
      <c r="Z14" s="20"/>
      <c r="AA14" s="20"/>
      <c r="AB14" s="20"/>
      <c r="AC14" s="55">
        <v>0.1</v>
      </c>
      <c r="AD14" s="47">
        <f t="shared" si="4"/>
        <v>478.66999999999996</v>
      </c>
      <c r="AE14" s="2">
        <f t="shared" si="5"/>
        <v>478.66999999999996</v>
      </c>
      <c r="AF14" s="21"/>
      <c r="AG14" s="60"/>
      <c r="AH14" s="60"/>
      <c r="AI14" s="22"/>
      <c r="AJ14" s="22"/>
      <c r="AK14" s="22"/>
      <c r="AL14" s="22"/>
      <c r="AM14" s="22"/>
      <c r="AN14" s="22"/>
      <c r="AO14" s="22"/>
      <c r="AP14" s="22"/>
      <c r="AQ14" s="22"/>
      <c r="AR14" s="22"/>
      <c r="AS14" s="22"/>
      <c r="AT14" s="22"/>
      <c r="AU14" s="22"/>
      <c r="AV14" s="22"/>
      <c r="AW14" s="22"/>
      <c r="AX14" s="22"/>
      <c r="AY14" s="22"/>
      <c r="AZ14" s="22"/>
      <c r="BA14" s="22"/>
      <c r="BB14" s="22"/>
      <c r="BC14" s="22"/>
      <c r="BD14" s="22"/>
      <c r="BE14" s="22"/>
      <c r="BF14" s="22"/>
    </row>
    <row r="15" spans="1:58" s="37" customFormat="1" ht="89.25" x14ac:dyDescent="0.2">
      <c r="A15" s="42">
        <v>5</v>
      </c>
      <c r="B15" s="85" t="s">
        <v>37</v>
      </c>
      <c r="C15" s="81" t="s">
        <v>29</v>
      </c>
      <c r="D15" s="52" t="s">
        <v>26</v>
      </c>
      <c r="E15" s="52">
        <v>3</v>
      </c>
      <c r="F15" s="52">
        <f>ROUND((4045/1.1),2)</f>
        <v>3677.27</v>
      </c>
      <c r="G15" s="52">
        <f>ROUND((4158/1.1),2)</f>
        <v>3780</v>
      </c>
      <c r="H15" s="53">
        <f>ROUND((4271/1.1),2)</f>
        <v>3882.73</v>
      </c>
      <c r="I15" s="17">
        <f t="shared" si="1"/>
        <v>3780</v>
      </c>
      <c r="J15" s="18">
        <f t="shared" si="0"/>
        <v>102.73000000000002</v>
      </c>
      <c r="K15" s="19">
        <f t="shared" si="2"/>
        <v>2.7177248677248682E-2</v>
      </c>
      <c r="L15" s="19"/>
      <c r="M15" s="18"/>
      <c r="N15" s="35"/>
      <c r="O15" s="35"/>
      <c r="P15" s="35"/>
      <c r="Q15" s="35"/>
      <c r="R15" s="35"/>
      <c r="S15" s="35"/>
      <c r="T15" s="35"/>
      <c r="U15" s="35"/>
      <c r="V15" s="35"/>
      <c r="W15" s="35"/>
      <c r="X15" s="35"/>
      <c r="Y15" s="35"/>
      <c r="Z15" s="35"/>
      <c r="AA15" s="35"/>
      <c r="AB15" s="35"/>
      <c r="AC15" s="54" t="s">
        <v>27</v>
      </c>
      <c r="AD15" s="47">
        <f t="shared" si="4"/>
        <v>4158</v>
      </c>
      <c r="AE15" s="2">
        <f t="shared" si="5"/>
        <v>12474</v>
      </c>
      <c r="AF15" s="21"/>
      <c r="AG15" s="60"/>
      <c r="AH15" s="60"/>
      <c r="AI15" s="36"/>
      <c r="AJ15" s="36"/>
      <c r="AK15" s="36"/>
      <c r="AL15" s="36"/>
      <c r="AM15" s="36"/>
      <c r="AN15" s="36"/>
      <c r="AO15" s="36"/>
      <c r="AP15" s="36"/>
      <c r="AQ15" s="36"/>
      <c r="AR15" s="36"/>
      <c r="AS15" s="36"/>
      <c r="AT15" s="36"/>
      <c r="AU15" s="36"/>
      <c r="AV15" s="36"/>
      <c r="AW15" s="36"/>
      <c r="AX15" s="36"/>
      <c r="AY15" s="36"/>
      <c r="AZ15" s="36"/>
      <c r="BA15" s="36"/>
      <c r="BB15" s="36"/>
      <c r="BC15" s="36"/>
      <c r="BD15" s="36"/>
      <c r="BE15" s="36"/>
      <c r="BF15" s="36"/>
    </row>
    <row r="16" spans="1:58" s="23" customFormat="1" ht="38.25" x14ac:dyDescent="0.2">
      <c r="A16" s="42">
        <v>6</v>
      </c>
      <c r="B16" s="84" t="s">
        <v>38</v>
      </c>
      <c r="C16" s="81" t="s">
        <v>29</v>
      </c>
      <c r="D16" s="52" t="s">
        <v>26</v>
      </c>
      <c r="E16" s="52">
        <v>3</v>
      </c>
      <c r="F16" s="52">
        <f>ROUND((5768/1.1),2)</f>
        <v>5243.64</v>
      </c>
      <c r="G16" s="52">
        <f>ROUND((5930/1.1),2)</f>
        <v>5390.91</v>
      </c>
      <c r="H16" s="53">
        <f>ROUND((6092/1.1),2)</f>
        <v>5538.18</v>
      </c>
      <c r="I16" s="17">
        <f t="shared" si="1"/>
        <v>5390.91</v>
      </c>
      <c r="J16" s="18">
        <f t="shared" si="0"/>
        <v>147.26999999999998</v>
      </c>
      <c r="K16" s="19">
        <f t="shared" si="2"/>
        <v>2.7318207872140322E-2</v>
      </c>
      <c r="L16" s="19"/>
      <c r="M16" s="18"/>
      <c r="N16" s="20"/>
      <c r="O16" s="20"/>
      <c r="P16" s="20"/>
      <c r="Q16" s="20"/>
      <c r="R16" s="20"/>
      <c r="S16" s="20"/>
      <c r="T16" s="20"/>
      <c r="U16" s="20"/>
      <c r="V16" s="20"/>
      <c r="W16" s="20"/>
      <c r="X16" s="20"/>
      <c r="Y16" s="20"/>
      <c r="Z16" s="20"/>
      <c r="AA16" s="20"/>
      <c r="AB16" s="20"/>
      <c r="AC16" s="54" t="s">
        <v>27</v>
      </c>
      <c r="AD16" s="47">
        <f t="shared" si="4"/>
        <v>5930</v>
      </c>
      <c r="AE16" s="2">
        <f t="shared" si="5"/>
        <v>17790</v>
      </c>
      <c r="AF16" s="21"/>
      <c r="AG16" s="60"/>
      <c r="AH16" s="60"/>
      <c r="AI16" s="22"/>
      <c r="AJ16" s="22"/>
      <c r="AK16" s="22"/>
      <c r="AL16" s="22"/>
      <c r="AM16" s="22"/>
      <c r="AN16" s="22"/>
      <c r="AO16" s="22"/>
      <c r="AP16" s="22"/>
      <c r="AQ16" s="22"/>
      <c r="AR16" s="22"/>
      <c r="AS16" s="22"/>
      <c r="AT16" s="22"/>
      <c r="AU16" s="22"/>
      <c r="AV16" s="22"/>
      <c r="AW16" s="22"/>
      <c r="AX16" s="22"/>
      <c r="AY16" s="22"/>
      <c r="AZ16" s="22"/>
      <c r="BA16" s="22"/>
      <c r="BB16" s="22"/>
      <c r="BC16" s="22"/>
      <c r="BD16" s="22"/>
      <c r="BE16" s="22"/>
      <c r="BF16" s="22"/>
    </row>
    <row r="17" spans="1:58" s="23" customFormat="1" ht="69" customHeight="1" x14ac:dyDescent="0.2">
      <c r="A17" s="42">
        <v>7</v>
      </c>
      <c r="B17" s="84" t="s">
        <v>39</v>
      </c>
      <c r="C17" s="81" t="s">
        <v>43</v>
      </c>
      <c r="D17" s="52" t="s">
        <v>26</v>
      </c>
      <c r="E17" s="52">
        <v>3</v>
      </c>
      <c r="F17" s="52">
        <f>ROUND((782/1.1),2)</f>
        <v>710.91</v>
      </c>
      <c r="G17" s="52">
        <f>ROUND((804/1.1),2)</f>
        <v>730.91</v>
      </c>
      <c r="H17" s="53">
        <f>ROUND((826/1.1),2)</f>
        <v>750.91</v>
      </c>
      <c r="I17" s="17">
        <f t="shared" si="1"/>
        <v>730.91</v>
      </c>
      <c r="J17" s="18">
        <f t="shared" si="0"/>
        <v>20</v>
      </c>
      <c r="K17" s="19">
        <f t="shared" si="2"/>
        <v>2.7363150045833277E-2</v>
      </c>
      <c r="L17" s="19"/>
      <c r="M17" s="18"/>
      <c r="N17" s="20"/>
      <c r="O17" s="20"/>
      <c r="P17" s="20"/>
      <c r="Q17" s="20"/>
      <c r="R17" s="20"/>
      <c r="S17" s="20"/>
      <c r="T17" s="20"/>
      <c r="U17" s="20"/>
      <c r="V17" s="20"/>
      <c r="W17" s="20"/>
      <c r="X17" s="20"/>
      <c r="Y17" s="20"/>
      <c r="Z17" s="20"/>
      <c r="AA17" s="20"/>
      <c r="AB17" s="20"/>
      <c r="AC17" s="54" t="s">
        <v>27</v>
      </c>
      <c r="AD17" s="47">
        <f t="shared" si="4"/>
        <v>804</v>
      </c>
      <c r="AE17" s="2">
        <f t="shared" si="5"/>
        <v>2412</v>
      </c>
      <c r="AF17" s="21"/>
      <c r="AG17" s="60"/>
      <c r="AH17" s="60"/>
      <c r="AI17" s="22"/>
      <c r="AJ17" s="22"/>
      <c r="AK17" s="22"/>
      <c r="AL17" s="22"/>
      <c r="AM17" s="22"/>
      <c r="AN17" s="22"/>
      <c r="AO17" s="22"/>
      <c r="AP17" s="22"/>
      <c r="AQ17" s="22"/>
      <c r="AR17" s="22"/>
      <c r="AS17" s="22"/>
      <c r="AT17" s="22"/>
      <c r="AU17" s="22"/>
      <c r="AV17" s="22"/>
      <c r="AW17" s="22"/>
      <c r="AX17" s="22"/>
      <c r="AY17" s="22"/>
      <c r="AZ17" s="22"/>
      <c r="BA17" s="22"/>
      <c r="BB17" s="22"/>
      <c r="BC17" s="22"/>
      <c r="BD17" s="22"/>
      <c r="BE17" s="22"/>
      <c r="BF17" s="22"/>
    </row>
    <row r="18" spans="1:58" s="23" customFormat="1" ht="28.5" customHeight="1" x14ac:dyDescent="0.2">
      <c r="A18" s="42">
        <v>8</v>
      </c>
      <c r="B18" s="84" t="s">
        <v>40</v>
      </c>
      <c r="C18" s="81" t="s">
        <v>44</v>
      </c>
      <c r="D18" s="52" t="s">
        <v>26</v>
      </c>
      <c r="E18" s="52">
        <v>50</v>
      </c>
      <c r="F18" s="52">
        <f>ROUND((138/1.1),2)</f>
        <v>125.45</v>
      </c>
      <c r="G18" s="52">
        <f>ROUND((142/1.1),2)</f>
        <v>129.09</v>
      </c>
      <c r="H18" s="53">
        <f>ROUND((146/1.1),2)</f>
        <v>132.72999999999999</v>
      </c>
      <c r="I18" s="17">
        <f t="shared" si="1"/>
        <v>129.09</v>
      </c>
      <c r="J18" s="24">
        <f t="shared" si="0"/>
        <v>3.6399999999999935</v>
      </c>
      <c r="K18" s="19">
        <f t="shared" si="2"/>
        <v>2.8197381671701861E-2</v>
      </c>
      <c r="L18" s="25"/>
      <c r="M18" s="24"/>
      <c r="N18" s="26"/>
      <c r="O18" s="26"/>
      <c r="P18" s="26"/>
      <c r="Q18" s="26"/>
      <c r="R18" s="26"/>
      <c r="S18" s="26"/>
      <c r="T18" s="26"/>
      <c r="U18" s="26"/>
      <c r="V18" s="26"/>
      <c r="W18" s="26"/>
      <c r="X18" s="26"/>
      <c r="Y18" s="26"/>
      <c r="Z18" s="26"/>
      <c r="AA18" s="26"/>
      <c r="AB18" s="26"/>
      <c r="AC18" s="55">
        <v>0.1</v>
      </c>
      <c r="AD18" s="47">
        <f t="shared" si="4"/>
        <v>142</v>
      </c>
      <c r="AE18" s="2">
        <f t="shared" si="5"/>
        <v>7100</v>
      </c>
      <c r="AF18" s="21"/>
      <c r="AG18" s="60"/>
      <c r="AH18" s="60"/>
      <c r="AI18" s="22"/>
      <c r="AJ18" s="22"/>
      <c r="AK18" s="22"/>
      <c r="AL18" s="22"/>
      <c r="AM18" s="22"/>
      <c r="AN18" s="22"/>
      <c r="AO18" s="22"/>
      <c r="AP18" s="22"/>
      <c r="AQ18" s="22"/>
      <c r="AR18" s="22"/>
      <c r="AS18" s="22"/>
      <c r="AT18" s="22"/>
      <c r="AU18" s="22"/>
      <c r="AV18" s="22"/>
      <c r="AW18" s="22"/>
      <c r="AX18" s="22"/>
      <c r="AY18" s="22"/>
      <c r="AZ18" s="22"/>
      <c r="BA18" s="22"/>
      <c r="BB18" s="22"/>
      <c r="BC18" s="22"/>
      <c r="BD18" s="22"/>
      <c r="BE18" s="22"/>
      <c r="BF18" s="22"/>
    </row>
    <row r="19" spans="1:58" s="23" customFormat="1" ht="25.5" x14ac:dyDescent="0.2">
      <c r="A19" s="42">
        <v>9</v>
      </c>
      <c r="B19" s="84" t="s">
        <v>41</v>
      </c>
      <c r="C19" s="81" t="s">
        <v>45</v>
      </c>
      <c r="D19" s="52" t="s">
        <v>26</v>
      </c>
      <c r="E19" s="52">
        <v>8</v>
      </c>
      <c r="F19" s="52">
        <f>ROUND((953/1.1),2)</f>
        <v>866.36</v>
      </c>
      <c r="G19" s="52">
        <f>ROUND((980/1.1),2)</f>
        <v>890.91</v>
      </c>
      <c r="H19" s="52">
        <f>ROUND((1007/1.1),2)</f>
        <v>915.45</v>
      </c>
      <c r="I19" s="17">
        <f t="shared" si="1"/>
        <v>890.91</v>
      </c>
      <c r="J19" s="18">
        <f t="shared" si="0"/>
        <v>24.5450005092687</v>
      </c>
      <c r="K19" s="19">
        <f t="shared" si="2"/>
        <v>2.7550585362203568E-2</v>
      </c>
      <c r="L19" s="19"/>
      <c r="M19" s="18"/>
      <c r="N19" s="20"/>
      <c r="O19" s="20"/>
      <c r="P19" s="20"/>
      <c r="Q19" s="20"/>
      <c r="R19" s="20"/>
      <c r="S19" s="20"/>
      <c r="T19" s="20"/>
      <c r="U19" s="20"/>
      <c r="V19" s="20"/>
      <c r="W19" s="20"/>
      <c r="X19" s="20"/>
      <c r="Y19" s="20"/>
      <c r="Z19" s="20"/>
      <c r="AA19" s="20"/>
      <c r="AB19" s="20"/>
      <c r="AC19" s="54" t="s">
        <v>27</v>
      </c>
      <c r="AD19" s="47">
        <f t="shared" si="4"/>
        <v>980</v>
      </c>
      <c r="AE19" s="2">
        <f t="shared" si="5"/>
        <v>7840</v>
      </c>
      <c r="AF19" s="21"/>
      <c r="AG19" s="60"/>
      <c r="AH19" s="60"/>
      <c r="AI19" s="22"/>
      <c r="AJ19" s="22"/>
      <c r="AK19" s="22"/>
      <c r="AL19" s="22"/>
      <c r="AM19" s="22"/>
      <c r="AN19" s="22"/>
      <c r="AO19" s="22"/>
      <c r="AP19" s="22"/>
      <c r="AQ19" s="22"/>
      <c r="AR19" s="22"/>
      <c r="AS19" s="22"/>
      <c r="AT19" s="22"/>
      <c r="AU19" s="22"/>
      <c r="AV19" s="22"/>
      <c r="AW19" s="22"/>
      <c r="AX19" s="22"/>
      <c r="AY19" s="22"/>
      <c r="AZ19" s="22"/>
      <c r="BA19" s="22"/>
      <c r="BB19" s="22"/>
      <c r="BC19" s="22"/>
      <c r="BD19" s="22"/>
      <c r="BE19" s="22"/>
      <c r="BF19" s="22"/>
    </row>
    <row r="20" spans="1:58" s="23" customFormat="1" ht="54.75" customHeight="1" x14ac:dyDescent="0.2">
      <c r="A20" s="42">
        <v>10</v>
      </c>
      <c r="B20" s="85" t="s">
        <v>42</v>
      </c>
      <c r="C20" s="81" t="s">
        <v>30</v>
      </c>
      <c r="D20" s="52" t="s">
        <v>25</v>
      </c>
      <c r="E20" s="52">
        <v>5</v>
      </c>
      <c r="F20" s="52">
        <f>ROUND((361/1.1),2)</f>
        <v>328.18</v>
      </c>
      <c r="G20" s="52">
        <f>ROUND((371/1.1),2)</f>
        <v>337.27</v>
      </c>
      <c r="H20" s="52">
        <f>ROUND((381/1.1),2)</f>
        <v>346.36</v>
      </c>
      <c r="I20" s="17">
        <f t="shared" si="1"/>
        <v>337.27</v>
      </c>
      <c r="J20" s="18">
        <f t="shared" si="0"/>
        <v>9.0900000000000034</v>
      </c>
      <c r="K20" s="19">
        <f t="shared" si="2"/>
        <v>2.6951700418062687E-2</v>
      </c>
      <c r="L20" s="19"/>
      <c r="M20" s="18"/>
      <c r="N20" s="20"/>
      <c r="O20" s="20"/>
      <c r="P20" s="20"/>
      <c r="Q20" s="20"/>
      <c r="R20" s="20"/>
      <c r="S20" s="20"/>
      <c r="T20" s="20"/>
      <c r="U20" s="20"/>
      <c r="V20" s="20"/>
      <c r="W20" s="20"/>
      <c r="X20" s="20"/>
      <c r="Y20" s="20"/>
      <c r="Z20" s="20"/>
      <c r="AA20" s="20"/>
      <c r="AB20" s="20"/>
      <c r="AC20" s="54" t="s">
        <v>27</v>
      </c>
      <c r="AD20" s="47">
        <f t="shared" si="4"/>
        <v>371</v>
      </c>
      <c r="AE20" s="2">
        <f t="shared" si="5"/>
        <v>1855</v>
      </c>
      <c r="AF20" s="21"/>
      <c r="AG20" s="60"/>
      <c r="AH20" s="60"/>
      <c r="AI20" s="22"/>
      <c r="AJ20" s="22"/>
      <c r="AK20" s="22"/>
      <c r="AL20" s="22"/>
      <c r="AM20" s="22"/>
      <c r="AN20" s="22"/>
      <c r="AO20" s="22"/>
      <c r="AP20" s="22"/>
      <c r="AQ20" s="22"/>
      <c r="AR20" s="22"/>
      <c r="AS20" s="22"/>
      <c r="AT20" s="22"/>
      <c r="AU20" s="22"/>
      <c r="AV20" s="22"/>
      <c r="AW20" s="22"/>
      <c r="AX20" s="22"/>
      <c r="AY20" s="22"/>
      <c r="AZ20" s="22"/>
      <c r="BA20" s="22"/>
      <c r="BB20" s="22"/>
      <c r="BC20" s="22"/>
      <c r="BD20" s="22"/>
      <c r="BE20" s="22"/>
      <c r="BF20" s="22"/>
    </row>
    <row r="21" spans="1:58" s="23" customFormat="1" ht="53.25" customHeight="1" x14ac:dyDescent="0.2">
      <c r="A21" s="42">
        <v>11</v>
      </c>
      <c r="B21" s="84" t="s">
        <v>50</v>
      </c>
      <c r="C21" s="81" t="s">
        <v>30</v>
      </c>
      <c r="D21" s="52" t="s">
        <v>25</v>
      </c>
      <c r="E21" s="52">
        <v>5</v>
      </c>
      <c r="F21" s="52">
        <f>ROUND((361/1.1),2)</f>
        <v>328.18</v>
      </c>
      <c r="G21" s="52">
        <f>ROUND((371/1.1),2)</f>
        <v>337.27</v>
      </c>
      <c r="H21" s="52">
        <f>ROUND((381/1.1),2)</f>
        <v>346.36</v>
      </c>
      <c r="I21" s="17">
        <f t="shared" si="1"/>
        <v>337.27</v>
      </c>
      <c r="J21" s="18">
        <f t="shared" si="0"/>
        <v>9.0900000000000034</v>
      </c>
      <c r="K21" s="19">
        <f t="shared" si="2"/>
        <v>2.6951700418062687E-2</v>
      </c>
      <c r="L21" s="19"/>
      <c r="M21" s="18"/>
      <c r="N21" s="20"/>
      <c r="O21" s="20"/>
      <c r="P21" s="20"/>
      <c r="Q21" s="20"/>
      <c r="R21" s="20"/>
      <c r="S21" s="20"/>
      <c r="T21" s="20"/>
      <c r="U21" s="20"/>
      <c r="V21" s="20"/>
      <c r="W21" s="20"/>
      <c r="X21" s="20"/>
      <c r="Y21" s="20"/>
      <c r="Z21" s="20"/>
      <c r="AA21" s="20"/>
      <c r="AB21" s="20"/>
      <c r="AC21" s="54" t="s">
        <v>27</v>
      </c>
      <c r="AD21" s="47">
        <f t="shared" si="4"/>
        <v>371</v>
      </c>
      <c r="AE21" s="2">
        <f t="shared" si="5"/>
        <v>1855</v>
      </c>
      <c r="AF21" s="21"/>
      <c r="AG21" s="60"/>
      <c r="AH21" s="60"/>
      <c r="AI21" s="22"/>
      <c r="AJ21" s="22"/>
      <c r="AK21" s="22"/>
      <c r="AL21" s="22"/>
      <c r="AM21" s="22"/>
      <c r="AN21" s="22"/>
      <c r="AO21" s="22"/>
      <c r="AP21" s="22"/>
      <c r="AQ21" s="22"/>
      <c r="AR21" s="22"/>
      <c r="AS21" s="22"/>
      <c r="AT21" s="22"/>
      <c r="AU21" s="22"/>
      <c r="AV21" s="22"/>
      <c r="AW21" s="22"/>
      <c r="AX21" s="22"/>
      <c r="AY21" s="22"/>
      <c r="AZ21" s="22"/>
      <c r="BA21" s="22"/>
      <c r="BB21" s="22"/>
      <c r="BC21" s="22"/>
      <c r="BD21" s="22"/>
      <c r="BE21" s="22"/>
      <c r="BF21" s="22"/>
    </row>
    <row r="22" spans="1:58" s="23" customFormat="1" ht="40.5" customHeight="1" x14ac:dyDescent="0.2">
      <c r="A22" s="42">
        <v>12</v>
      </c>
      <c r="B22" s="84" t="s">
        <v>51</v>
      </c>
      <c r="C22" s="81" t="s">
        <v>30</v>
      </c>
      <c r="D22" s="52" t="s">
        <v>25</v>
      </c>
      <c r="E22" s="52">
        <v>4</v>
      </c>
      <c r="F22" s="52">
        <f>ROUND((4354/1.1),2)</f>
        <v>3958.18</v>
      </c>
      <c r="G22" s="52">
        <f>ROUND((4476/1.1),2)</f>
        <v>4069.09</v>
      </c>
      <c r="H22" s="52">
        <f>ROUND((4598/1.1),2)</f>
        <v>4180</v>
      </c>
      <c r="I22" s="17">
        <f t="shared" si="1"/>
        <v>4069.09</v>
      </c>
      <c r="J22" s="18">
        <f t="shared" si="0"/>
        <v>110.91000000000008</v>
      </c>
      <c r="K22" s="19">
        <f t="shared" si="2"/>
        <v>2.7256708502392445E-2</v>
      </c>
      <c r="L22" s="19"/>
      <c r="M22" s="18"/>
      <c r="N22" s="20"/>
      <c r="O22" s="20"/>
      <c r="P22" s="20"/>
      <c r="Q22" s="20"/>
      <c r="R22" s="20"/>
      <c r="S22" s="20"/>
      <c r="T22" s="20"/>
      <c r="U22" s="20"/>
      <c r="V22" s="20"/>
      <c r="W22" s="20"/>
      <c r="X22" s="20"/>
      <c r="Y22" s="20"/>
      <c r="Z22" s="20"/>
      <c r="AA22" s="20"/>
      <c r="AB22" s="20"/>
      <c r="AC22" s="54" t="s">
        <v>27</v>
      </c>
      <c r="AD22" s="47">
        <f t="shared" si="4"/>
        <v>4476</v>
      </c>
      <c r="AE22" s="2">
        <f t="shared" si="5"/>
        <v>17904</v>
      </c>
      <c r="AF22" s="21"/>
      <c r="AG22" s="60"/>
      <c r="AH22" s="60"/>
      <c r="AI22" s="22"/>
      <c r="AJ22" s="22"/>
      <c r="AK22" s="22"/>
      <c r="AL22" s="22"/>
      <c r="AM22" s="22"/>
      <c r="AN22" s="22"/>
      <c r="AO22" s="22"/>
      <c r="AP22" s="22"/>
      <c r="AQ22" s="22"/>
      <c r="AR22" s="22"/>
      <c r="AS22" s="22"/>
      <c r="AT22" s="22"/>
      <c r="AU22" s="22"/>
      <c r="AV22" s="22"/>
      <c r="AW22" s="22"/>
      <c r="AX22" s="22"/>
      <c r="AY22" s="22"/>
      <c r="AZ22" s="22"/>
      <c r="BA22" s="22"/>
      <c r="BB22" s="22"/>
      <c r="BC22" s="22"/>
      <c r="BD22" s="22"/>
      <c r="BE22" s="22"/>
      <c r="BF22" s="22"/>
    </row>
    <row r="23" spans="1:58" s="23" customFormat="1" ht="66" customHeight="1" x14ac:dyDescent="0.2">
      <c r="A23" s="42">
        <v>13</v>
      </c>
      <c r="B23" s="84" t="s">
        <v>22</v>
      </c>
      <c r="C23" s="81" t="s">
        <v>30</v>
      </c>
      <c r="D23" s="52" t="s">
        <v>25</v>
      </c>
      <c r="E23" s="53">
        <v>1</v>
      </c>
      <c r="F23" s="52">
        <f>ROUND((2408/1.1),2)</f>
        <v>2189.09</v>
      </c>
      <c r="G23" s="53">
        <f>ROUND((2475/1.1),2)</f>
        <v>2250</v>
      </c>
      <c r="H23" s="53">
        <f>ROUND((2543/1.1),2)</f>
        <v>2311.8200000000002</v>
      </c>
      <c r="I23" s="17">
        <f t="shared" si="1"/>
        <v>2250.3000000000002</v>
      </c>
      <c r="J23" s="18">
        <f t="shared" si="0"/>
        <v>61.365562410850607</v>
      </c>
      <c r="K23" s="19">
        <f t="shared" si="2"/>
        <v>2.7269906845915171E-2</v>
      </c>
      <c r="L23" s="19"/>
      <c r="M23" s="18"/>
      <c r="N23" s="20"/>
      <c r="O23" s="20"/>
      <c r="P23" s="20"/>
      <c r="Q23" s="20"/>
      <c r="R23" s="20"/>
      <c r="S23" s="20"/>
      <c r="T23" s="20"/>
      <c r="U23" s="20"/>
      <c r="V23" s="20"/>
      <c r="W23" s="20"/>
      <c r="X23" s="20"/>
      <c r="Y23" s="20"/>
      <c r="Z23" s="20"/>
      <c r="AA23" s="20"/>
      <c r="AB23" s="20"/>
      <c r="AC23" s="54" t="s">
        <v>27</v>
      </c>
      <c r="AD23" s="47">
        <f t="shared" si="4"/>
        <v>2475.3300000000004</v>
      </c>
      <c r="AE23" s="2">
        <f t="shared" si="5"/>
        <v>2475.3300000000004</v>
      </c>
      <c r="AF23" s="21"/>
      <c r="AG23" s="60"/>
      <c r="AH23" s="60"/>
      <c r="AI23" s="22"/>
      <c r="AJ23" s="22"/>
      <c r="AK23" s="22"/>
      <c r="AL23" s="22"/>
      <c r="AM23" s="22"/>
      <c r="AN23" s="22"/>
      <c r="AO23" s="22"/>
      <c r="AP23" s="22"/>
      <c r="AQ23" s="22"/>
      <c r="AR23" s="22"/>
      <c r="AS23" s="22"/>
      <c r="AT23" s="22"/>
      <c r="AU23" s="22"/>
      <c r="AV23" s="22"/>
      <c r="AW23" s="22"/>
      <c r="AX23" s="22"/>
      <c r="AY23" s="22"/>
      <c r="AZ23" s="22"/>
      <c r="BA23" s="22"/>
      <c r="BB23" s="22"/>
      <c r="BC23" s="22"/>
      <c r="BD23" s="22"/>
      <c r="BE23" s="22"/>
      <c r="BF23" s="22"/>
    </row>
    <row r="24" spans="1:58" s="23" customFormat="1" ht="51" x14ac:dyDescent="0.2">
      <c r="A24" s="42">
        <v>14</v>
      </c>
      <c r="B24" s="84" t="s">
        <v>52</v>
      </c>
      <c r="C24" s="81" t="s">
        <v>30</v>
      </c>
      <c r="D24" s="52" t="s">
        <v>25</v>
      </c>
      <c r="E24" s="52">
        <v>15</v>
      </c>
      <c r="F24" s="52">
        <f>ROUND((2985/1.1),2)</f>
        <v>2713.64</v>
      </c>
      <c r="G24" s="52">
        <f>ROUND((3069/1.1),2)</f>
        <v>2790</v>
      </c>
      <c r="H24" s="52">
        <f>ROUND((3153/1.1),2)</f>
        <v>2866.36</v>
      </c>
      <c r="I24" s="17">
        <f t="shared" si="1"/>
        <v>2790</v>
      </c>
      <c r="J24" s="18">
        <f t="shared" si="0"/>
        <v>76.360000000000127</v>
      </c>
      <c r="K24" s="19">
        <f t="shared" si="2"/>
        <v>2.7369175627240189E-2</v>
      </c>
      <c r="L24" s="19"/>
      <c r="M24" s="18"/>
      <c r="N24" s="20"/>
      <c r="O24" s="20"/>
      <c r="P24" s="20"/>
      <c r="Q24" s="20"/>
      <c r="R24" s="20"/>
      <c r="S24" s="20"/>
      <c r="T24" s="20"/>
      <c r="U24" s="20"/>
      <c r="V24" s="20"/>
      <c r="W24" s="20"/>
      <c r="X24" s="20"/>
      <c r="Y24" s="20"/>
      <c r="Z24" s="20"/>
      <c r="AA24" s="20"/>
      <c r="AB24" s="20"/>
      <c r="AC24" s="54" t="s">
        <v>27</v>
      </c>
      <c r="AD24" s="47">
        <f t="shared" si="4"/>
        <v>3069</v>
      </c>
      <c r="AE24" s="2">
        <f t="shared" si="5"/>
        <v>46035</v>
      </c>
      <c r="AF24" s="21"/>
      <c r="AG24" s="60"/>
      <c r="AH24" s="60"/>
      <c r="AI24" s="22"/>
      <c r="AJ24" s="22"/>
      <c r="AK24" s="22"/>
      <c r="AL24" s="22"/>
      <c r="AM24" s="22"/>
      <c r="AN24" s="22"/>
      <c r="AO24" s="22"/>
      <c r="AP24" s="22"/>
      <c r="AQ24" s="22"/>
      <c r="AR24" s="22"/>
      <c r="AS24" s="22"/>
      <c r="AT24" s="22"/>
      <c r="AU24" s="22"/>
      <c r="AV24" s="22"/>
      <c r="AW24" s="22"/>
      <c r="AX24" s="22"/>
      <c r="AY24" s="22"/>
      <c r="AZ24" s="22"/>
      <c r="BA24" s="22"/>
      <c r="BB24" s="22"/>
      <c r="BC24" s="22"/>
      <c r="BD24" s="22"/>
      <c r="BE24" s="22"/>
      <c r="BF24" s="22"/>
    </row>
    <row r="25" spans="1:58" s="23" customFormat="1" ht="63.75" x14ac:dyDescent="0.2">
      <c r="A25" s="42">
        <v>15</v>
      </c>
      <c r="B25" s="84" t="s">
        <v>53</v>
      </c>
      <c r="C25" s="81" t="s">
        <v>30</v>
      </c>
      <c r="D25" s="52" t="s">
        <v>25</v>
      </c>
      <c r="E25" s="52">
        <v>5</v>
      </c>
      <c r="F25" s="52">
        <f>ROUND((4066/1.1),2)</f>
        <v>3696.36</v>
      </c>
      <c r="G25" s="52">
        <f>ROUND((4180/1.1),2)</f>
        <v>3800</v>
      </c>
      <c r="H25" s="52">
        <f>ROUND((4294/1.1),2)</f>
        <v>3903.64</v>
      </c>
      <c r="I25" s="17">
        <f t="shared" si="1"/>
        <v>3800</v>
      </c>
      <c r="J25" s="18">
        <f t="shared" si="0"/>
        <v>103.63999999999987</v>
      </c>
      <c r="K25" s="19">
        <f t="shared" si="2"/>
        <v>2.7273684210526283E-2</v>
      </c>
      <c r="L25" s="19"/>
      <c r="M25" s="18"/>
      <c r="N25" s="20"/>
      <c r="O25" s="20"/>
      <c r="P25" s="20"/>
      <c r="Q25" s="20"/>
      <c r="R25" s="20"/>
      <c r="S25" s="20"/>
      <c r="T25" s="20"/>
      <c r="U25" s="20"/>
      <c r="V25" s="20"/>
      <c r="W25" s="20"/>
      <c r="X25" s="20"/>
      <c r="Y25" s="20"/>
      <c r="Z25" s="20"/>
      <c r="AA25" s="20"/>
      <c r="AB25" s="20"/>
      <c r="AC25" s="54" t="s">
        <v>27</v>
      </c>
      <c r="AD25" s="47">
        <f t="shared" si="4"/>
        <v>4180</v>
      </c>
      <c r="AE25" s="2">
        <f t="shared" si="5"/>
        <v>20900</v>
      </c>
      <c r="AF25" s="21"/>
      <c r="AG25" s="60"/>
      <c r="AH25" s="60"/>
      <c r="AI25" s="22"/>
      <c r="AJ25" s="22"/>
      <c r="AK25" s="22"/>
      <c r="AL25" s="22"/>
      <c r="AM25" s="22"/>
      <c r="AN25" s="22"/>
      <c r="AO25" s="22"/>
      <c r="AP25" s="22"/>
      <c r="AQ25" s="22"/>
      <c r="AR25" s="22"/>
      <c r="AS25" s="22"/>
      <c r="AT25" s="22"/>
      <c r="AU25" s="22"/>
      <c r="AV25" s="22"/>
      <c r="AW25" s="22"/>
      <c r="AX25" s="22"/>
      <c r="AY25" s="22"/>
      <c r="AZ25" s="22"/>
      <c r="BA25" s="22"/>
      <c r="BB25" s="22"/>
      <c r="BC25" s="22"/>
      <c r="BD25" s="22"/>
      <c r="BE25" s="22"/>
      <c r="BF25" s="22"/>
    </row>
    <row r="26" spans="1:58" s="23" customFormat="1" ht="51" x14ac:dyDescent="0.2">
      <c r="A26" s="42">
        <v>16</v>
      </c>
      <c r="B26" s="84" t="s">
        <v>54</v>
      </c>
      <c r="C26" s="81" t="s">
        <v>30</v>
      </c>
      <c r="D26" s="52" t="s">
        <v>25</v>
      </c>
      <c r="E26" s="53">
        <v>2</v>
      </c>
      <c r="F26" s="52">
        <f>ROUND((6062/1.1),2)</f>
        <v>5510.91</v>
      </c>
      <c r="G26" s="53">
        <f>ROUND((6232/1.1),2)</f>
        <v>5665.45</v>
      </c>
      <c r="H26" s="53">
        <f>ROUND((6401/1.1),2)</f>
        <v>5819.09</v>
      </c>
      <c r="I26" s="17">
        <f t="shared" si="1"/>
        <v>5665.15</v>
      </c>
      <c r="J26" s="18">
        <f t="shared" si="0"/>
        <v>154.09021902768535</v>
      </c>
      <c r="K26" s="19">
        <f t="shared" si="2"/>
        <v>2.7199671505200276E-2</v>
      </c>
      <c r="L26" s="19"/>
      <c r="M26" s="18"/>
      <c r="N26" s="20"/>
      <c r="O26" s="20"/>
      <c r="P26" s="20"/>
      <c r="Q26" s="20"/>
      <c r="R26" s="20"/>
      <c r="S26" s="20"/>
      <c r="T26" s="20"/>
      <c r="U26" s="20"/>
      <c r="V26" s="20"/>
      <c r="W26" s="20"/>
      <c r="X26" s="20"/>
      <c r="Y26" s="20"/>
      <c r="Z26" s="20"/>
      <c r="AA26" s="20"/>
      <c r="AB26" s="20"/>
      <c r="AC26" s="54" t="s">
        <v>27</v>
      </c>
      <c r="AD26" s="47">
        <f t="shared" si="4"/>
        <v>6231.67</v>
      </c>
      <c r="AE26" s="2">
        <f t="shared" si="5"/>
        <v>12463.34</v>
      </c>
      <c r="AF26" s="21"/>
      <c r="AG26" s="60"/>
      <c r="AH26" s="60"/>
      <c r="AI26" s="22"/>
      <c r="AJ26" s="22"/>
      <c r="AK26" s="22"/>
      <c r="AL26" s="22"/>
      <c r="AM26" s="22"/>
      <c r="AN26" s="22"/>
      <c r="AO26" s="22"/>
      <c r="AP26" s="22"/>
      <c r="AQ26" s="22"/>
      <c r="AR26" s="22"/>
      <c r="AS26" s="22"/>
      <c r="AT26" s="22"/>
      <c r="AU26" s="22"/>
      <c r="AV26" s="22"/>
      <c r="AW26" s="22"/>
      <c r="AX26" s="22"/>
      <c r="AY26" s="22"/>
      <c r="AZ26" s="22"/>
      <c r="BA26" s="22"/>
      <c r="BB26" s="22"/>
      <c r="BC26" s="22"/>
      <c r="BD26" s="22"/>
      <c r="BE26" s="22"/>
      <c r="BF26" s="22"/>
    </row>
    <row r="27" spans="1:58" s="34" customFormat="1" ht="38.25" x14ac:dyDescent="0.2">
      <c r="A27" s="42">
        <v>17</v>
      </c>
      <c r="B27" s="84" t="s">
        <v>55</v>
      </c>
      <c r="C27" s="81" t="s">
        <v>44</v>
      </c>
      <c r="D27" s="52" t="s">
        <v>26</v>
      </c>
      <c r="E27" s="53">
        <v>20</v>
      </c>
      <c r="F27" s="53">
        <f>ROUND((1632/1.1),2)</f>
        <v>1483.64</v>
      </c>
      <c r="G27" s="53">
        <f>ROUND((1678/1.1),2)</f>
        <v>1525.45</v>
      </c>
      <c r="H27" s="53">
        <f>ROUND((1723/1.1),2)</f>
        <v>1566.36</v>
      </c>
      <c r="I27" s="17">
        <f t="shared" si="1"/>
        <v>1525.15</v>
      </c>
      <c r="J27" s="18">
        <f t="shared" si="0"/>
        <v>41.360815997753136</v>
      </c>
      <c r="K27" s="19">
        <f t="shared" si="2"/>
        <v>2.7119179095664782E-2</v>
      </c>
      <c r="L27" s="19"/>
      <c r="M27" s="18"/>
      <c r="N27" s="20"/>
      <c r="O27" s="20"/>
      <c r="P27" s="20"/>
      <c r="Q27" s="20"/>
      <c r="R27" s="20"/>
      <c r="S27" s="20"/>
      <c r="T27" s="20"/>
      <c r="U27" s="20"/>
      <c r="V27" s="20"/>
      <c r="W27" s="20"/>
      <c r="X27" s="20"/>
      <c r="Y27" s="20"/>
      <c r="Z27" s="20"/>
      <c r="AA27" s="20"/>
      <c r="AB27" s="20"/>
      <c r="AC27" s="55">
        <v>0.1</v>
      </c>
      <c r="AD27" s="47">
        <f t="shared" si="4"/>
        <v>1677.67</v>
      </c>
      <c r="AE27" s="2">
        <f t="shared" si="5"/>
        <v>33553.4</v>
      </c>
      <c r="AF27" s="21"/>
      <c r="AG27" s="60"/>
      <c r="AH27" s="60"/>
      <c r="AI27" s="22"/>
      <c r="AJ27" s="22"/>
      <c r="AK27" s="22"/>
      <c r="AL27" s="22"/>
      <c r="AM27" s="22"/>
      <c r="AN27" s="22"/>
      <c r="AO27" s="22"/>
      <c r="AP27" s="22"/>
      <c r="AQ27" s="22"/>
      <c r="AR27" s="22"/>
      <c r="AS27" s="22"/>
      <c r="AT27" s="22"/>
      <c r="AU27" s="22"/>
      <c r="AV27" s="22"/>
      <c r="AW27" s="22"/>
      <c r="AX27" s="22"/>
      <c r="AY27" s="22"/>
      <c r="AZ27" s="22"/>
      <c r="BA27" s="22"/>
      <c r="BB27" s="22"/>
      <c r="BC27" s="22"/>
      <c r="BD27" s="22"/>
      <c r="BE27" s="22"/>
      <c r="BF27" s="22"/>
    </row>
    <row r="28" spans="1:58" s="23" customFormat="1" ht="51" x14ac:dyDescent="0.2">
      <c r="A28" s="42">
        <v>18</v>
      </c>
      <c r="B28" s="84" t="s">
        <v>56</v>
      </c>
      <c r="C28" s="81" t="s">
        <v>46</v>
      </c>
      <c r="D28" s="52" t="s">
        <v>26</v>
      </c>
      <c r="E28" s="52">
        <v>8</v>
      </c>
      <c r="F28" s="52">
        <f>ROUND((524/1.1),2)</f>
        <v>476.36</v>
      </c>
      <c r="G28" s="52">
        <f>ROUND((539/1.1),2)</f>
        <v>490</v>
      </c>
      <c r="H28" s="53">
        <f>ROUND((554/1.1),2)</f>
        <v>503.64</v>
      </c>
      <c r="I28" s="17">
        <f t="shared" si="1"/>
        <v>490</v>
      </c>
      <c r="J28" s="18">
        <f t="shared" si="0"/>
        <v>13.639999999999986</v>
      </c>
      <c r="K28" s="19">
        <f t="shared" si="2"/>
        <v>2.7836734693877523E-2</v>
      </c>
      <c r="L28" s="19"/>
      <c r="M28" s="18"/>
      <c r="N28" s="20"/>
      <c r="O28" s="20"/>
      <c r="P28" s="20"/>
      <c r="Q28" s="20"/>
      <c r="R28" s="20"/>
      <c r="S28" s="20"/>
      <c r="T28" s="20"/>
      <c r="U28" s="20"/>
      <c r="V28" s="20"/>
      <c r="W28" s="20"/>
      <c r="X28" s="20"/>
      <c r="Y28" s="20"/>
      <c r="Z28" s="20"/>
      <c r="AA28" s="20"/>
      <c r="AB28" s="20"/>
      <c r="AC28" s="55">
        <v>0.1</v>
      </c>
      <c r="AD28" s="47">
        <f t="shared" si="4"/>
        <v>539</v>
      </c>
      <c r="AE28" s="2">
        <f t="shared" si="5"/>
        <v>4312</v>
      </c>
      <c r="AF28" s="21"/>
      <c r="AG28" s="60"/>
      <c r="AH28" s="60"/>
      <c r="AI28" s="22"/>
      <c r="AJ28" s="22"/>
      <c r="AK28" s="22"/>
      <c r="AL28" s="22"/>
      <c r="AM28" s="22"/>
      <c r="AN28" s="22"/>
      <c r="AO28" s="22"/>
      <c r="AP28" s="22"/>
      <c r="AQ28" s="22"/>
      <c r="AR28" s="22"/>
      <c r="AS28" s="22"/>
      <c r="AT28" s="22"/>
      <c r="AU28" s="22"/>
      <c r="AV28" s="22"/>
      <c r="AW28" s="22"/>
      <c r="AX28" s="22"/>
      <c r="AY28" s="22"/>
      <c r="AZ28" s="22"/>
      <c r="BA28" s="22"/>
      <c r="BB28" s="22"/>
      <c r="BC28" s="22"/>
      <c r="BD28" s="22"/>
      <c r="BE28" s="22"/>
      <c r="BF28" s="22"/>
    </row>
    <row r="29" spans="1:58" s="23" customFormat="1" ht="27" customHeight="1" x14ac:dyDescent="0.2">
      <c r="A29" s="42">
        <v>19</v>
      </c>
      <c r="B29" s="84" t="s">
        <v>57</v>
      </c>
      <c r="C29" s="81" t="s">
        <v>30</v>
      </c>
      <c r="D29" s="52" t="s">
        <v>25</v>
      </c>
      <c r="E29" s="52">
        <v>5</v>
      </c>
      <c r="F29" s="52">
        <f>ROUND((2450/1.1),2)</f>
        <v>2227.27</v>
      </c>
      <c r="G29" s="52">
        <f>ROUND((2519/1.1),2)</f>
        <v>2290</v>
      </c>
      <c r="H29" s="53">
        <f>ROUND((2588/1.1),2)</f>
        <v>2352.73</v>
      </c>
      <c r="I29" s="17">
        <f t="shared" si="1"/>
        <v>2290</v>
      </c>
      <c r="J29" s="18">
        <f t="shared" si="0"/>
        <v>62.730000000000018</v>
      </c>
      <c r="K29" s="19">
        <f t="shared" si="2"/>
        <v>2.7393013100436688E-2</v>
      </c>
      <c r="L29" s="19"/>
      <c r="M29" s="18"/>
      <c r="N29" s="20"/>
      <c r="O29" s="20"/>
      <c r="P29" s="20"/>
      <c r="Q29" s="20"/>
      <c r="R29" s="20"/>
      <c r="S29" s="20"/>
      <c r="T29" s="20"/>
      <c r="U29" s="20"/>
      <c r="V29" s="20"/>
      <c r="W29" s="20"/>
      <c r="X29" s="20"/>
      <c r="Y29" s="20"/>
      <c r="Z29" s="20"/>
      <c r="AA29" s="20"/>
      <c r="AB29" s="20"/>
      <c r="AC29" s="54" t="s">
        <v>27</v>
      </c>
      <c r="AD29" s="47">
        <f t="shared" si="4"/>
        <v>2519</v>
      </c>
      <c r="AE29" s="2">
        <f t="shared" si="5"/>
        <v>12595</v>
      </c>
      <c r="AF29" s="21"/>
      <c r="AG29" s="60"/>
      <c r="AH29" s="60"/>
      <c r="AI29" s="22"/>
      <c r="AJ29" s="22"/>
      <c r="AK29" s="22"/>
      <c r="AL29" s="22"/>
      <c r="AM29" s="22"/>
      <c r="AN29" s="22"/>
      <c r="AO29" s="22"/>
      <c r="AP29" s="22"/>
      <c r="AQ29" s="22"/>
      <c r="AR29" s="22"/>
      <c r="AS29" s="22"/>
      <c r="AT29" s="22"/>
      <c r="AU29" s="22"/>
      <c r="AV29" s="22"/>
      <c r="AW29" s="22"/>
      <c r="AX29" s="22"/>
      <c r="AY29" s="22"/>
      <c r="AZ29" s="22"/>
      <c r="BA29" s="22"/>
      <c r="BB29" s="22"/>
      <c r="BC29" s="22"/>
      <c r="BD29" s="22"/>
      <c r="BE29" s="22"/>
      <c r="BF29" s="22"/>
    </row>
    <row r="30" spans="1:58" s="23" customFormat="1" ht="27" customHeight="1" x14ac:dyDescent="0.2">
      <c r="A30" s="42">
        <v>20</v>
      </c>
      <c r="B30" s="85" t="s">
        <v>58</v>
      </c>
      <c r="C30" s="81" t="s">
        <v>30</v>
      </c>
      <c r="D30" s="52" t="s">
        <v>25</v>
      </c>
      <c r="E30" s="52">
        <v>6</v>
      </c>
      <c r="F30" s="52">
        <f>ROUND((2450/1.1),2)</f>
        <v>2227.27</v>
      </c>
      <c r="G30" s="52">
        <f>ROUND((2519/1.1),2)</f>
        <v>2290</v>
      </c>
      <c r="H30" s="53">
        <f>ROUND((2588/1.1),2)</f>
        <v>2352.73</v>
      </c>
      <c r="I30" s="17">
        <f t="shared" si="1"/>
        <v>2290</v>
      </c>
      <c r="J30" s="18">
        <f t="shared" si="0"/>
        <v>62.730000000000018</v>
      </c>
      <c r="K30" s="19">
        <f t="shared" si="2"/>
        <v>2.7393013100436688E-2</v>
      </c>
      <c r="L30" s="19"/>
      <c r="M30" s="18"/>
      <c r="N30" s="20"/>
      <c r="O30" s="20"/>
      <c r="P30" s="20"/>
      <c r="Q30" s="20"/>
      <c r="R30" s="20"/>
      <c r="S30" s="20"/>
      <c r="T30" s="20"/>
      <c r="U30" s="20"/>
      <c r="V30" s="20"/>
      <c r="W30" s="20"/>
      <c r="X30" s="20"/>
      <c r="Y30" s="20"/>
      <c r="Z30" s="20"/>
      <c r="AA30" s="20"/>
      <c r="AB30" s="20"/>
      <c r="AC30" s="54" t="s">
        <v>27</v>
      </c>
      <c r="AD30" s="47">
        <f t="shared" si="4"/>
        <v>2519</v>
      </c>
      <c r="AE30" s="2">
        <f t="shared" si="5"/>
        <v>15114</v>
      </c>
      <c r="AF30" s="21"/>
      <c r="AG30" s="60"/>
      <c r="AH30" s="60"/>
      <c r="AI30" s="22"/>
      <c r="AJ30" s="22"/>
      <c r="AK30" s="22"/>
      <c r="AL30" s="22"/>
      <c r="AM30" s="22"/>
      <c r="AN30" s="22"/>
      <c r="AO30" s="22"/>
      <c r="AP30" s="22"/>
      <c r="AQ30" s="22"/>
      <c r="AR30" s="22"/>
      <c r="AS30" s="22"/>
      <c r="AT30" s="22"/>
      <c r="AU30" s="22"/>
      <c r="AV30" s="22"/>
      <c r="AW30" s="22"/>
      <c r="AX30" s="22"/>
      <c r="AY30" s="22"/>
      <c r="AZ30" s="22"/>
      <c r="BA30" s="22"/>
      <c r="BB30" s="22"/>
      <c r="BC30" s="22"/>
      <c r="BD30" s="22"/>
      <c r="BE30" s="22"/>
      <c r="BF30" s="22"/>
    </row>
    <row r="31" spans="1:58" s="23" customFormat="1" ht="53.25" customHeight="1" x14ac:dyDescent="0.2">
      <c r="A31" s="42">
        <v>21</v>
      </c>
      <c r="B31" s="84" t="s">
        <v>59</v>
      </c>
      <c r="C31" s="81" t="s">
        <v>30</v>
      </c>
      <c r="D31" s="52" t="s">
        <v>25</v>
      </c>
      <c r="E31" s="52">
        <v>20</v>
      </c>
      <c r="F31" s="52">
        <f>ROUND((3039/1.1),2)</f>
        <v>2762.73</v>
      </c>
      <c r="G31" s="52">
        <f>ROUND((3124/1.1),2)</f>
        <v>2840</v>
      </c>
      <c r="H31" s="53">
        <f>ROUND((3209/1.1),2)</f>
        <v>2917.27</v>
      </c>
      <c r="I31" s="17">
        <f t="shared" si="1"/>
        <v>2840</v>
      </c>
      <c r="J31" s="18">
        <f t="shared" si="0"/>
        <v>77.269999999999982</v>
      </c>
      <c r="K31" s="19">
        <f t="shared" si="2"/>
        <v>2.7207746478873234E-2</v>
      </c>
      <c r="L31" s="19"/>
      <c r="M31" s="18"/>
      <c r="N31" s="20"/>
      <c r="O31" s="20"/>
      <c r="P31" s="20"/>
      <c r="Q31" s="20"/>
      <c r="R31" s="20"/>
      <c r="S31" s="20"/>
      <c r="T31" s="20"/>
      <c r="U31" s="20"/>
      <c r="V31" s="20"/>
      <c r="W31" s="20"/>
      <c r="X31" s="20"/>
      <c r="Y31" s="20"/>
      <c r="Z31" s="20"/>
      <c r="AA31" s="20"/>
      <c r="AB31" s="20"/>
      <c r="AC31" s="54" t="s">
        <v>27</v>
      </c>
      <c r="AD31" s="47">
        <f t="shared" si="4"/>
        <v>3124</v>
      </c>
      <c r="AE31" s="2">
        <f t="shared" si="5"/>
        <v>62480</v>
      </c>
      <c r="AF31" s="21"/>
      <c r="AG31" s="60"/>
      <c r="AH31" s="60"/>
      <c r="AI31" s="22"/>
      <c r="AJ31" s="22"/>
      <c r="AK31" s="22"/>
      <c r="AL31" s="22"/>
      <c r="AM31" s="22"/>
      <c r="AN31" s="22"/>
      <c r="AO31" s="22"/>
      <c r="AP31" s="22"/>
      <c r="AQ31" s="22"/>
      <c r="AR31" s="22"/>
      <c r="AS31" s="22"/>
      <c r="AT31" s="22"/>
      <c r="AU31" s="22"/>
      <c r="AV31" s="22"/>
      <c r="AW31" s="22"/>
      <c r="AX31" s="22"/>
      <c r="AY31" s="22"/>
      <c r="AZ31" s="22"/>
      <c r="BA31" s="22"/>
      <c r="BB31" s="22"/>
      <c r="BC31" s="22"/>
      <c r="BD31" s="22"/>
      <c r="BE31" s="22"/>
      <c r="BF31" s="22"/>
    </row>
    <row r="32" spans="1:58" s="23" customFormat="1" ht="38.25" x14ac:dyDescent="0.2">
      <c r="A32" s="42">
        <v>22</v>
      </c>
      <c r="B32" s="84" t="s">
        <v>60</v>
      </c>
      <c r="C32" s="86" t="s">
        <v>47</v>
      </c>
      <c r="D32" s="52" t="s">
        <v>25</v>
      </c>
      <c r="E32" s="52">
        <v>80</v>
      </c>
      <c r="F32" s="52">
        <v>133</v>
      </c>
      <c r="G32" s="52">
        <v>136</v>
      </c>
      <c r="H32" s="53">
        <v>140</v>
      </c>
      <c r="I32" s="17">
        <f t="shared" si="1"/>
        <v>136.33000000000001</v>
      </c>
      <c r="J32" s="18">
        <f t="shared" si="0"/>
        <v>3.5118869571784344</v>
      </c>
      <c r="K32" s="19">
        <f t="shared" si="2"/>
        <v>2.5759544628001806E-2</v>
      </c>
      <c r="L32" s="19"/>
      <c r="M32" s="18"/>
      <c r="N32" s="20"/>
      <c r="O32" s="20"/>
      <c r="P32" s="20"/>
      <c r="Q32" s="20"/>
      <c r="R32" s="20"/>
      <c r="S32" s="20"/>
      <c r="T32" s="20"/>
      <c r="U32" s="20"/>
      <c r="V32" s="20"/>
      <c r="W32" s="20"/>
      <c r="X32" s="20"/>
      <c r="Y32" s="20"/>
      <c r="Z32" s="20"/>
      <c r="AA32" s="20"/>
      <c r="AB32" s="20"/>
      <c r="AC32" s="55">
        <v>0</v>
      </c>
      <c r="AD32" s="47">
        <f t="shared" si="4"/>
        <v>136.33000000000001</v>
      </c>
      <c r="AE32" s="2">
        <f t="shared" si="5"/>
        <v>10906.400000000001</v>
      </c>
      <c r="AF32" s="21"/>
      <c r="AG32" s="60"/>
      <c r="AH32" s="60"/>
      <c r="AI32" s="22"/>
      <c r="AJ32" s="22"/>
      <c r="AK32" s="22"/>
      <c r="AL32" s="22"/>
      <c r="AM32" s="22"/>
      <c r="AN32" s="22"/>
      <c r="AO32" s="22"/>
      <c r="AP32" s="22"/>
      <c r="AQ32" s="22"/>
      <c r="AR32" s="22"/>
      <c r="AS32" s="22"/>
      <c r="AT32" s="22"/>
      <c r="AU32" s="22"/>
      <c r="AV32" s="22"/>
      <c r="AW32" s="22"/>
      <c r="AX32" s="22"/>
      <c r="AY32" s="22"/>
      <c r="AZ32" s="22"/>
      <c r="BA32" s="22"/>
      <c r="BB32" s="22"/>
      <c r="BC32" s="22"/>
      <c r="BD32" s="22"/>
      <c r="BE32" s="22"/>
      <c r="BF32" s="22"/>
    </row>
    <row r="33" spans="1:58" s="23" customFormat="1" ht="38.25" x14ac:dyDescent="0.2">
      <c r="A33" s="42">
        <v>23</v>
      </c>
      <c r="B33" s="84" t="s">
        <v>61</v>
      </c>
      <c r="C33" s="86" t="s">
        <v>47</v>
      </c>
      <c r="D33" s="52" t="s">
        <v>25</v>
      </c>
      <c r="E33" s="53">
        <v>80</v>
      </c>
      <c r="F33" s="53">
        <v>137</v>
      </c>
      <c r="G33" s="53">
        <v>141</v>
      </c>
      <c r="H33" s="53">
        <v>145</v>
      </c>
      <c r="I33" s="17">
        <f t="shared" si="1"/>
        <v>141</v>
      </c>
      <c r="J33" s="18">
        <f t="shared" si="0"/>
        <v>4</v>
      </c>
      <c r="K33" s="19">
        <f t="shared" si="2"/>
        <v>2.8368794326241134E-2</v>
      </c>
      <c r="L33" s="19"/>
      <c r="M33" s="18"/>
      <c r="N33" s="20"/>
      <c r="O33" s="20"/>
      <c r="P33" s="20"/>
      <c r="Q33" s="20"/>
      <c r="R33" s="20"/>
      <c r="S33" s="20"/>
      <c r="T33" s="20"/>
      <c r="U33" s="20"/>
      <c r="V33" s="20"/>
      <c r="W33" s="20"/>
      <c r="X33" s="20"/>
      <c r="Y33" s="20"/>
      <c r="Z33" s="20"/>
      <c r="AA33" s="20"/>
      <c r="AB33" s="20"/>
      <c r="AC33" s="55">
        <v>0</v>
      </c>
      <c r="AD33" s="47">
        <f t="shared" si="4"/>
        <v>141</v>
      </c>
      <c r="AE33" s="2">
        <f t="shared" si="5"/>
        <v>11280</v>
      </c>
      <c r="AF33" s="21"/>
      <c r="AG33" s="60"/>
      <c r="AH33" s="60"/>
      <c r="AI33" s="22"/>
      <c r="AJ33" s="22"/>
      <c r="AK33" s="22"/>
      <c r="AL33" s="22"/>
      <c r="AM33" s="22"/>
      <c r="AN33" s="22"/>
      <c r="AO33" s="22"/>
      <c r="AP33" s="22"/>
      <c r="AQ33" s="22"/>
      <c r="AR33" s="22"/>
      <c r="AS33" s="22"/>
      <c r="AT33" s="22"/>
      <c r="AU33" s="22"/>
      <c r="AV33" s="22"/>
      <c r="AW33" s="22"/>
      <c r="AX33" s="22"/>
      <c r="AY33" s="22"/>
      <c r="AZ33" s="22"/>
      <c r="BA33" s="22"/>
      <c r="BB33" s="22"/>
      <c r="BC33" s="22"/>
      <c r="BD33" s="22"/>
      <c r="BE33" s="22"/>
      <c r="BF33" s="22"/>
    </row>
    <row r="34" spans="1:58" s="23" customFormat="1" ht="52.5" customHeight="1" x14ac:dyDescent="0.2">
      <c r="A34" s="42">
        <v>24</v>
      </c>
      <c r="B34" s="84" t="s">
        <v>62</v>
      </c>
      <c r="C34" s="81" t="s">
        <v>28</v>
      </c>
      <c r="D34" s="52" t="s">
        <v>25</v>
      </c>
      <c r="E34" s="53">
        <v>1</v>
      </c>
      <c r="F34" s="52">
        <f>ROUND((2755/1.1),2)</f>
        <v>2504.5500000000002</v>
      </c>
      <c r="G34" s="53">
        <f>ROUND((2833/1.1),2)</f>
        <v>2575.4499999999998</v>
      </c>
      <c r="H34" s="53">
        <f>ROUND((2910/1.1),2)</f>
        <v>2645.45</v>
      </c>
      <c r="I34" s="17">
        <f t="shared" si="1"/>
        <v>2575.15</v>
      </c>
      <c r="J34" s="18">
        <f t="shared" si="0"/>
        <v>70.45047906153637</v>
      </c>
      <c r="K34" s="19">
        <f t="shared" si="2"/>
        <v>2.7357815685119843E-2</v>
      </c>
      <c r="L34" s="19"/>
      <c r="M34" s="18"/>
      <c r="N34" s="20"/>
      <c r="O34" s="20"/>
      <c r="P34" s="20"/>
      <c r="Q34" s="20"/>
      <c r="R34" s="20"/>
      <c r="S34" s="20"/>
      <c r="T34" s="20"/>
      <c r="U34" s="20"/>
      <c r="V34" s="20"/>
      <c r="W34" s="20"/>
      <c r="X34" s="20"/>
      <c r="Y34" s="20"/>
      <c r="Z34" s="20"/>
      <c r="AA34" s="20"/>
      <c r="AB34" s="20"/>
      <c r="AC34" s="55">
        <v>0.1</v>
      </c>
      <c r="AD34" s="47">
        <f t="shared" si="4"/>
        <v>2832.67</v>
      </c>
      <c r="AE34" s="2">
        <f t="shared" si="5"/>
        <v>2832.67</v>
      </c>
      <c r="AF34" s="21"/>
      <c r="AG34" s="60"/>
      <c r="AH34" s="60"/>
      <c r="AI34" s="22"/>
      <c r="AJ34" s="22"/>
      <c r="AK34" s="22"/>
      <c r="AL34" s="22"/>
      <c r="AM34" s="22"/>
      <c r="AN34" s="22"/>
      <c r="AO34" s="22"/>
      <c r="AP34" s="22"/>
      <c r="AQ34" s="22"/>
      <c r="AR34" s="22"/>
      <c r="AS34" s="22"/>
      <c r="AT34" s="22"/>
      <c r="AU34" s="22"/>
      <c r="AV34" s="22"/>
      <c r="AW34" s="22"/>
      <c r="AX34" s="22"/>
      <c r="AY34" s="22"/>
      <c r="AZ34" s="22"/>
      <c r="BA34" s="22"/>
      <c r="BB34" s="22"/>
      <c r="BC34" s="22"/>
      <c r="BD34" s="22"/>
      <c r="BE34" s="22"/>
      <c r="BF34" s="22"/>
    </row>
    <row r="35" spans="1:58" s="23" customFormat="1" ht="39.75" customHeight="1" x14ac:dyDescent="0.2">
      <c r="A35" s="42">
        <v>25</v>
      </c>
      <c r="B35" s="84" t="s">
        <v>63</v>
      </c>
      <c r="C35" s="81" t="s">
        <v>48</v>
      </c>
      <c r="D35" s="52" t="s">
        <v>25</v>
      </c>
      <c r="E35" s="52">
        <v>2</v>
      </c>
      <c r="F35" s="52">
        <f>ROUND((353/1.1),2)</f>
        <v>320.91000000000003</v>
      </c>
      <c r="G35" s="52">
        <f>ROUND((363/1.1),2)</f>
        <v>330</v>
      </c>
      <c r="H35" s="53">
        <f>ROUND((373/1.1),2)</f>
        <v>339.09</v>
      </c>
      <c r="I35" s="17">
        <f t="shared" si="1"/>
        <v>330</v>
      </c>
      <c r="J35" s="18">
        <f t="shared" si="0"/>
        <v>9.089999999999975</v>
      </c>
      <c r="K35" s="19">
        <f t="shared" si="2"/>
        <v>2.754545454545447E-2</v>
      </c>
      <c r="L35" s="19"/>
      <c r="M35" s="18"/>
      <c r="N35" s="20"/>
      <c r="O35" s="20"/>
      <c r="P35" s="20"/>
      <c r="Q35" s="20"/>
      <c r="R35" s="20"/>
      <c r="S35" s="20"/>
      <c r="T35" s="20"/>
      <c r="U35" s="20"/>
      <c r="V35" s="20"/>
      <c r="W35" s="20"/>
      <c r="X35" s="20"/>
      <c r="Y35" s="20"/>
      <c r="Z35" s="20"/>
      <c r="AA35" s="20"/>
      <c r="AB35" s="20"/>
      <c r="AC35" s="55">
        <v>0.1</v>
      </c>
      <c r="AD35" s="47">
        <f t="shared" si="4"/>
        <v>363</v>
      </c>
      <c r="AE35" s="2">
        <f t="shared" si="5"/>
        <v>726</v>
      </c>
      <c r="AF35" s="21"/>
      <c r="AG35" s="60"/>
      <c r="AH35" s="60"/>
      <c r="AI35" s="22"/>
      <c r="AJ35" s="22"/>
      <c r="AK35" s="22"/>
      <c r="AL35" s="22"/>
      <c r="AM35" s="22"/>
      <c r="AN35" s="22"/>
      <c r="AO35" s="22"/>
      <c r="AP35" s="22"/>
      <c r="AQ35" s="22"/>
      <c r="AR35" s="22"/>
      <c r="AS35" s="22"/>
      <c r="AT35" s="22"/>
      <c r="AU35" s="22"/>
      <c r="AV35" s="22"/>
      <c r="AW35" s="22"/>
      <c r="AX35" s="22"/>
      <c r="AY35" s="22"/>
      <c r="AZ35" s="22"/>
      <c r="BA35" s="22"/>
      <c r="BB35" s="22"/>
      <c r="BC35" s="22"/>
      <c r="BD35" s="22"/>
      <c r="BE35" s="22"/>
      <c r="BF35" s="22"/>
    </row>
    <row r="36" spans="1:58" s="23" customFormat="1" ht="76.5" customHeight="1" x14ac:dyDescent="0.2">
      <c r="A36" s="42">
        <v>26</v>
      </c>
      <c r="B36" s="84" t="s">
        <v>64</v>
      </c>
      <c r="C36" s="81" t="s">
        <v>29</v>
      </c>
      <c r="D36" s="52" t="s">
        <v>26</v>
      </c>
      <c r="E36" s="52">
        <v>5</v>
      </c>
      <c r="F36" s="52">
        <f>ROUND((3178/1.1),2)</f>
        <v>2889.09</v>
      </c>
      <c r="G36" s="52">
        <f>ROUND((3267/1.1),2)</f>
        <v>2970</v>
      </c>
      <c r="H36" s="52">
        <f>ROUND((3356/1.1),2)</f>
        <v>3050.91</v>
      </c>
      <c r="I36" s="17">
        <f t="shared" si="1"/>
        <v>2970</v>
      </c>
      <c r="J36" s="18">
        <f t="shared" si="0"/>
        <v>80.909999999999854</v>
      </c>
      <c r="K36" s="19">
        <f t="shared" si="2"/>
        <v>2.7242424242424193E-2</v>
      </c>
      <c r="L36" s="19"/>
      <c r="M36" s="18"/>
      <c r="N36" s="20"/>
      <c r="O36" s="20"/>
      <c r="P36" s="20"/>
      <c r="Q36" s="20"/>
      <c r="R36" s="20"/>
      <c r="S36" s="20"/>
      <c r="T36" s="20"/>
      <c r="U36" s="20"/>
      <c r="V36" s="20"/>
      <c r="W36" s="20"/>
      <c r="X36" s="20"/>
      <c r="Y36" s="20"/>
      <c r="Z36" s="20"/>
      <c r="AA36" s="20"/>
      <c r="AB36" s="20"/>
      <c r="AC36" s="54" t="s">
        <v>27</v>
      </c>
      <c r="AD36" s="47">
        <f t="shared" si="4"/>
        <v>3267</v>
      </c>
      <c r="AE36" s="2">
        <f t="shared" si="5"/>
        <v>16335</v>
      </c>
      <c r="AF36" s="21"/>
      <c r="AG36" s="60"/>
      <c r="AH36" s="60"/>
      <c r="AI36" s="22"/>
      <c r="AJ36" s="22"/>
      <c r="AK36" s="22"/>
      <c r="AL36" s="22"/>
      <c r="AM36" s="22"/>
      <c r="AN36" s="22"/>
      <c r="AO36" s="22"/>
      <c r="AP36" s="22"/>
      <c r="AQ36" s="22"/>
      <c r="AR36" s="22"/>
      <c r="AS36" s="22"/>
      <c r="AT36" s="22"/>
      <c r="AU36" s="22"/>
      <c r="AV36" s="22"/>
      <c r="AW36" s="22"/>
      <c r="AX36" s="22"/>
      <c r="AY36" s="22"/>
      <c r="AZ36" s="22"/>
      <c r="BA36" s="22"/>
      <c r="BB36" s="22"/>
      <c r="BC36" s="22"/>
      <c r="BD36" s="22"/>
      <c r="BE36" s="22"/>
      <c r="BF36" s="22"/>
    </row>
    <row r="37" spans="1:58" s="23" customFormat="1" ht="76.5" customHeight="1" x14ac:dyDescent="0.2">
      <c r="A37" s="42">
        <v>27</v>
      </c>
      <c r="B37" s="84" t="s">
        <v>65</v>
      </c>
      <c r="C37" s="81" t="s">
        <v>29</v>
      </c>
      <c r="D37" s="52" t="s">
        <v>26</v>
      </c>
      <c r="E37" s="53">
        <v>5</v>
      </c>
      <c r="F37" s="52">
        <f>ROUND((3178/1.1),2)</f>
        <v>2889.09</v>
      </c>
      <c r="G37" s="52">
        <f>ROUND((3267/1.1),2)</f>
        <v>2970</v>
      </c>
      <c r="H37" s="52">
        <f>ROUND((3356/1.1),2)</f>
        <v>3050.91</v>
      </c>
      <c r="I37" s="17">
        <f t="shared" si="1"/>
        <v>2970</v>
      </c>
      <c r="J37" s="18">
        <f t="shared" si="0"/>
        <v>80.909999999999854</v>
      </c>
      <c r="K37" s="19">
        <f t="shared" si="2"/>
        <v>2.7242424242424193E-2</v>
      </c>
      <c r="L37" s="19"/>
      <c r="M37" s="18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20"/>
      <c r="AC37" s="54" t="s">
        <v>27</v>
      </c>
      <c r="AD37" s="47">
        <f t="shared" si="4"/>
        <v>3267</v>
      </c>
      <c r="AE37" s="2">
        <f t="shared" si="5"/>
        <v>16335</v>
      </c>
      <c r="AF37" s="21"/>
      <c r="AG37" s="60"/>
      <c r="AH37" s="60"/>
      <c r="AI37" s="22"/>
      <c r="AJ37" s="22"/>
      <c r="AK37" s="22"/>
      <c r="AL37" s="22"/>
      <c r="AM37" s="22"/>
      <c r="AN37" s="22"/>
      <c r="AO37" s="22"/>
      <c r="AP37" s="22"/>
      <c r="AQ37" s="22"/>
      <c r="AR37" s="22"/>
      <c r="AS37" s="22"/>
      <c r="AT37" s="22"/>
      <c r="AU37" s="22"/>
      <c r="AV37" s="22"/>
      <c r="AW37" s="22"/>
      <c r="AX37" s="22"/>
      <c r="AY37" s="22"/>
      <c r="AZ37" s="22"/>
      <c r="BA37" s="22"/>
      <c r="BB37" s="22"/>
      <c r="BC37" s="22"/>
      <c r="BD37" s="22"/>
      <c r="BE37" s="22"/>
      <c r="BF37" s="22"/>
    </row>
    <row r="38" spans="1:58" s="23" customFormat="1" ht="66" customHeight="1" x14ac:dyDescent="0.2">
      <c r="A38" s="42">
        <v>28</v>
      </c>
      <c r="B38" s="84" t="s">
        <v>66</v>
      </c>
      <c r="C38" s="81" t="s">
        <v>29</v>
      </c>
      <c r="D38" s="52" t="s">
        <v>25</v>
      </c>
      <c r="E38" s="53">
        <v>1</v>
      </c>
      <c r="F38" s="53">
        <f>ROUND((9084/1.1),2)</f>
        <v>8258.18</v>
      </c>
      <c r="G38" s="53">
        <f>ROUND((9339/1.1),2)</f>
        <v>8490</v>
      </c>
      <c r="H38" s="53">
        <f>ROUND((9594/1.1),2)</f>
        <v>8721.82</v>
      </c>
      <c r="I38" s="17">
        <f t="shared" si="1"/>
        <v>8490</v>
      </c>
      <c r="J38" s="18">
        <f t="shared" si="0"/>
        <v>231.81999999999971</v>
      </c>
      <c r="K38" s="19">
        <f t="shared" si="2"/>
        <v>2.7305064782096551E-2</v>
      </c>
      <c r="L38" s="19"/>
      <c r="M38" s="18"/>
      <c r="N38" s="20"/>
      <c r="O38" s="20"/>
      <c r="P38" s="20"/>
      <c r="Q38" s="20"/>
      <c r="R38" s="20"/>
      <c r="S38" s="20"/>
      <c r="T38" s="20"/>
      <c r="U38" s="20"/>
      <c r="V38" s="20"/>
      <c r="W38" s="20"/>
      <c r="X38" s="20"/>
      <c r="Y38" s="20"/>
      <c r="Z38" s="20"/>
      <c r="AA38" s="20"/>
      <c r="AB38" s="20"/>
      <c r="AC38" s="54" t="s">
        <v>27</v>
      </c>
      <c r="AD38" s="47">
        <f t="shared" si="4"/>
        <v>9339</v>
      </c>
      <c r="AE38" s="2">
        <f t="shared" si="5"/>
        <v>9339</v>
      </c>
      <c r="AF38" s="21"/>
      <c r="AG38" s="60"/>
      <c r="AH38" s="60"/>
      <c r="AI38" s="22"/>
      <c r="AJ38" s="22"/>
      <c r="AK38" s="22"/>
      <c r="AL38" s="22"/>
      <c r="AM38" s="22"/>
      <c r="AN38" s="22"/>
      <c r="AO38" s="22"/>
      <c r="AP38" s="22"/>
      <c r="AQ38" s="22"/>
      <c r="AR38" s="22"/>
      <c r="AS38" s="22"/>
      <c r="AT38" s="22"/>
      <c r="AU38" s="22"/>
      <c r="AV38" s="22"/>
      <c r="AW38" s="22"/>
      <c r="AX38" s="22"/>
      <c r="AY38" s="22"/>
      <c r="AZ38" s="22"/>
      <c r="BA38" s="22"/>
      <c r="BB38" s="22"/>
      <c r="BC38" s="22"/>
      <c r="BD38" s="22"/>
      <c r="BE38" s="22"/>
      <c r="BF38" s="22"/>
    </row>
    <row r="39" spans="1:58" s="23" customFormat="1" ht="40.5" customHeight="1" x14ac:dyDescent="0.2">
      <c r="A39" s="42">
        <v>29</v>
      </c>
      <c r="B39" s="84" t="s">
        <v>67</v>
      </c>
      <c r="C39" s="81" t="s">
        <v>32</v>
      </c>
      <c r="D39" s="52" t="s">
        <v>26</v>
      </c>
      <c r="E39" s="52">
        <v>10</v>
      </c>
      <c r="F39" s="52">
        <f>ROUND((347/1.1),2)</f>
        <v>315.45</v>
      </c>
      <c r="G39" s="52">
        <f>ROUND((356/1.1),2)</f>
        <v>323.64</v>
      </c>
      <c r="H39" s="53">
        <f>ROUND((366/1.1),2)</f>
        <v>332.73</v>
      </c>
      <c r="I39" s="17">
        <f t="shared" si="1"/>
        <v>323.94</v>
      </c>
      <c r="J39" s="18">
        <f t="shared" si="0"/>
        <v>8.6439053673672444</v>
      </c>
      <c r="K39" s="19">
        <f t="shared" si="2"/>
        <v>2.6683661688483188E-2</v>
      </c>
      <c r="L39" s="19"/>
      <c r="M39" s="18"/>
      <c r="N39" s="20"/>
      <c r="O39" s="20"/>
      <c r="P39" s="20"/>
      <c r="Q39" s="20"/>
      <c r="R39" s="20"/>
      <c r="S39" s="20"/>
      <c r="T39" s="20"/>
      <c r="U39" s="20"/>
      <c r="V39" s="20"/>
      <c r="W39" s="20"/>
      <c r="X39" s="20"/>
      <c r="Y39" s="20"/>
      <c r="Z39" s="20"/>
      <c r="AA39" s="20"/>
      <c r="AB39" s="20"/>
      <c r="AC39" s="55">
        <v>0.1</v>
      </c>
      <c r="AD39" s="47">
        <f t="shared" si="4"/>
        <v>356.33</v>
      </c>
      <c r="AE39" s="2">
        <f t="shared" si="5"/>
        <v>3563.2999999999997</v>
      </c>
      <c r="AF39" s="21"/>
      <c r="AG39" s="60"/>
      <c r="AH39" s="60"/>
      <c r="AI39" s="22"/>
      <c r="AJ39" s="22"/>
      <c r="AK39" s="22"/>
      <c r="AL39" s="22"/>
      <c r="AM39" s="22"/>
      <c r="AN39" s="22"/>
      <c r="AO39" s="22"/>
      <c r="AP39" s="22"/>
      <c r="AQ39" s="22"/>
      <c r="AR39" s="22"/>
      <c r="AS39" s="22"/>
      <c r="AT39" s="22"/>
      <c r="AU39" s="22"/>
      <c r="AV39" s="22"/>
      <c r="AW39" s="22"/>
      <c r="AX39" s="22"/>
      <c r="AY39" s="22"/>
      <c r="AZ39" s="22"/>
      <c r="BA39" s="22"/>
      <c r="BB39" s="22"/>
      <c r="BC39" s="22"/>
      <c r="BD39" s="22"/>
      <c r="BE39" s="22"/>
      <c r="BF39" s="22"/>
    </row>
    <row r="40" spans="1:58" s="23" customFormat="1" ht="38.25" x14ac:dyDescent="0.2">
      <c r="A40" s="42">
        <v>30</v>
      </c>
      <c r="B40" s="84" t="s">
        <v>68</v>
      </c>
      <c r="C40" s="81" t="s">
        <v>32</v>
      </c>
      <c r="D40" s="52" t="s">
        <v>26</v>
      </c>
      <c r="E40" s="52">
        <v>10</v>
      </c>
      <c r="F40" s="52">
        <f>ROUND((336/1.1),2)</f>
        <v>305.45</v>
      </c>
      <c r="G40" s="52">
        <f>ROUND((345/1.1),2)</f>
        <v>313.64</v>
      </c>
      <c r="H40" s="53">
        <f>ROUND((355/1.1),2)</f>
        <v>322.73</v>
      </c>
      <c r="I40" s="17">
        <f t="shared" si="1"/>
        <v>313.94</v>
      </c>
      <c r="J40" s="18">
        <f t="shared" si="0"/>
        <v>8.6439053673672444</v>
      </c>
      <c r="K40" s="19">
        <f t="shared" si="2"/>
        <v>2.7533622244273571E-2</v>
      </c>
      <c r="L40" s="19"/>
      <c r="M40" s="18"/>
      <c r="N40" s="20"/>
      <c r="O40" s="20"/>
      <c r="P40" s="20"/>
      <c r="Q40" s="20"/>
      <c r="R40" s="20"/>
      <c r="S40" s="20"/>
      <c r="T40" s="20"/>
      <c r="U40" s="20"/>
      <c r="V40" s="20"/>
      <c r="W40" s="20"/>
      <c r="X40" s="20"/>
      <c r="Y40" s="20"/>
      <c r="Z40" s="20"/>
      <c r="AA40" s="20"/>
      <c r="AB40" s="20"/>
      <c r="AC40" s="55">
        <v>0.1</v>
      </c>
      <c r="AD40" s="47">
        <f t="shared" si="4"/>
        <v>345.33</v>
      </c>
      <c r="AE40" s="2">
        <f t="shared" si="5"/>
        <v>3453.2999999999997</v>
      </c>
      <c r="AF40" s="21"/>
      <c r="AG40" s="60"/>
      <c r="AH40" s="60"/>
      <c r="AI40" s="22"/>
      <c r="AJ40" s="22"/>
      <c r="AK40" s="22"/>
      <c r="AL40" s="22"/>
      <c r="AM40" s="22"/>
      <c r="AN40" s="22"/>
      <c r="AO40" s="22"/>
      <c r="AP40" s="22"/>
      <c r="AQ40" s="22"/>
      <c r="AR40" s="22"/>
      <c r="AS40" s="22"/>
      <c r="AT40" s="22"/>
      <c r="AU40" s="22"/>
      <c r="AV40" s="22"/>
      <c r="AW40" s="22"/>
      <c r="AX40" s="22"/>
      <c r="AY40" s="22"/>
      <c r="AZ40" s="22"/>
      <c r="BA40" s="22"/>
      <c r="BB40" s="22"/>
      <c r="BC40" s="22"/>
      <c r="BD40" s="22"/>
      <c r="BE40" s="22"/>
      <c r="BF40" s="22"/>
    </row>
    <row r="41" spans="1:58" s="23" customFormat="1" ht="65.25" customHeight="1" x14ac:dyDescent="0.2">
      <c r="A41" s="42">
        <v>31</v>
      </c>
      <c r="B41" s="84" t="s">
        <v>69</v>
      </c>
      <c r="C41" s="81" t="s">
        <v>30</v>
      </c>
      <c r="D41" s="52" t="s">
        <v>25</v>
      </c>
      <c r="E41" s="52">
        <v>2</v>
      </c>
      <c r="F41" s="52">
        <f>ROUND((8652/1.1),2)</f>
        <v>7865.45</v>
      </c>
      <c r="G41" s="52">
        <f>ROUND((8895/1.1),2)</f>
        <v>8086.36</v>
      </c>
      <c r="H41" s="52">
        <f>ROUND((9137/1.1),2)</f>
        <v>8306.36</v>
      </c>
      <c r="I41" s="17">
        <f t="shared" si="1"/>
        <v>8086.06</v>
      </c>
      <c r="J41" s="18">
        <f t="shared" si="0"/>
        <v>220.45515655116839</v>
      </c>
      <c r="K41" s="19">
        <f t="shared" si="2"/>
        <v>2.7263617558130046E-2</v>
      </c>
      <c r="L41" s="19"/>
      <c r="M41" s="18"/>
      <c r="N41" s="20"/>
      <c r="O41" s="20"/>
      <c r="P41" s="20"/>
      <c r="Q41" s="20"/>
      <c r="R41" s="20"/>
      <c r="S41" s="20"/>
      <c r="T41" s="20"/>
      <c r="U41" s="20"/>
      <c r="V41" s="20"/>
      <c r="W41" s="20"/>
      <c r="X41" s="20"/>
      <c r="Y41" s="20"/>
      <c r="Z41" s="20"/>
      <c r="AA41" s="20"/>
      <c r="AB41" s="20"/>
      <c r="AC41" s="54" t="s">
        <v>27</v>
      </c>
      <c r="AD41" s="47">
        <f t="shared" si="4"/>
        <v>8894.67</v>
      </c>
      <c r="AE41" s="2">
        <f t="shared" si="5"/>
        <v>17789.34</v>
      </c>
      <c r="AF41" s="21"/>
      <c r="AG41" s="60"/>
      <c r="AH41" s="60"/>
      <c r="AI41" s="22"/>
      <c r="AJ41" s="22"/>
      <c r="AK41" s="22"/>
      <c r="AL41" s="22"/>
      <c r="AM41" s="22"/>
      <c r="AN41" s="22"/>
      <c r="AO41" s="22"/>
      <c r="AP41" s="22"/>
      <c r="AQ41" s="22"/>
      <c r="AR41" s="22"/>
      <c r="AS41" s="22"/>
      <c r="AT41" s="22"/>
      <c r="AU41" s="22"/>
      <c r="AV41" s="22"/>
      <c r="AW41" s="22"/>
      <c r="AX41" s="22"/>
      <c r="AY41" s="22"/>
      <c r="AZ41" s="22"/>
      <c r="BA41" s="22"/>
      <c r="BB41" s="22"/>
      <c r="BC41" s="22"/>
      <c r="BD41" s="22"/>
      <c r="BE41" s="22"/>
      <c r="BF41" s="22"/>
    </row>
    <row r="42" spans="1:58" s="23" customFormat="1" ht="66" customHeight="1" x14ac:dyDescent="0.2">
      <c r="A42" s="42">
        <v>32</v>
      </c>
      <c r="B42" s="84" t="s">
        <v>70</v>
      </c>
      <c r="C42" s="81" t="s">
        <v>30</v>
      </c>
      <c r="D42" s="52" t="s">
        <v>25</v>
      </c>
      <c r="E42" s="52">
        <v>2</v>
      </c>
      <c r="F42" s="52">
        <f>ROUND((8652/1.1),2)</f>
        <v>7865.45</v>
      </c>
      <c r="G42" s="52">
        <f>ROUND((8895/1.1),2)</f>
        <v>8086.36</v>
      </c>
      <c r="H42" s="52">
        <f>ROUND((9137/1.1),2)</f>
        <v>8306.36</v>
      </c>
      <c r="I42" s="17">
        <f t="shared" si="1"/>
        <v>8086.06</v>
      </c>
      <c r="J42" s="18">
        <f t="shared" si="0"/>
        <v>220.45515655116839</v>
      </c>
      <c r="K42" s="19">
        <f t="shared" si="2"/>
        <v>2.7263617558130046E-2</v>
      </c>
      <c r="L42" s="19"/>
      <c r="M42" s="18"/>
      <c r="N42" s="20"/>
      <c r="O42" s="20"/>
      <c r="P42" s="20"/>
      <c r="Q42" s="20"/>
      <c r="R42" s="20"/>
      <c r="S42" s="20"/>
      <c r="T42" s="20"/>
      <c r="U42" s="20"/>
      <c r="V42" s="20"/>
      <c r="W42" s="20"/>
      <c r="X42" s="20"/>
      <c r="Y42" s="20"/>
      <c r="Z42" s="20"/>
      <c r="AA42" s="20"/>
      <c r="AB42" s="20"/>
      <c r="AC42" s="54" t="s">
        <v>27</v>
      </c>
      <c r="AD42" s="47">
        <f t="shared" si="4"/>
        <v>8894.67</v>
      </c>
      <c r="AE42" s="2">
        <f t="shared" si="5"/>
        <v>17789.34</v>
      </c>
      <c r="AF42" s="21"/>
      <c r="AG42" s="60"/>
      <c r="AH42" s="60"/>
      <c r="AI42" s="22"/>
      <c r="AJ42" s="22"/>
      <c r="AK42" s="22"/>
      <c r="AL42" s="22"/>
      <c r="AM42" s="22"/>
      <c r="AN42" s="22"/>
      <c r="AO42" s="22"/>
      <c r="AP42" s="22"/>
      <c r="AQ42" s="22"/>
      <c r="AR42" s="22"/>
      <c r="AS42" s="22"/>
      <c r="AT42" s="22"/>
      <c r="AU42" s="22"/>
      <c r="AV42" s="22"/>
      <c r="AW42" s="22"/>
      <c r="AX42" s="22"/>
      <c r="AY42" s="22"/>
      <c r="AZ42" s="22"/>
      <c r="BA42" s="22"/>
      <c r="BB42" s="22"/>
      <c r="BC42" s="22"/>
      <c r="BD42" s="22"/>
      <c r="BE42" s="22"/>
      <c r="BF42" s="22"/>
    </row>
    <row r="43" spans="1:58" s="23" customFormat="1" ht="63.75" x14ac:dyDescent="0.2">
      <c r="A43" s="42">
        <v>33</v>
      </c>
      <c r="B43" s="84" t="s">
        <v>71</v>
      </c>
      <c r="C43" s="81" t="s">
        <v>47</v>
      </c>
      <c r="D43" s="52" t="s">
        <v>26</v>
      </c>
      <c r="E43" s="52">
        <v>2</v>
      </c>
      <c r="F43" s="52">
        <f>ROUND((1599/1.1),2)</f>
        <v>1453.64</v>
      </c>
      <c r="G43" s="52">
        <f>ROUND((1643/1.1),2)</f>
        <v>1493.64</v>
      </c>
      <c r="H43" s="52">
        <f>ROUND((1688/1.1),2)</f>
        <v>1534.55</v>
      </c>
      <c r="I43" s="17">
        <f t="shared" si="1"/>
        <v>1493.94</v>
      </c>
      <c r="J43" s="18">
        <f t="shared" si="0"/>
        <v>40.455853099397054</v>
      </c>
      <c r="K43" s="19">
        <f t="shared" si="2"/>
        <v>2.7079911259515334E-2</v>
      </c>
      <c r="L43" s="19"/>
      <c r="M43" s="18"/>
      <c r="N43" s="20"/>
      <c r="O43" s="20"/>
      <c r="P43" s="20"/>
      <c r="Q43" s="20"/>
      <c r="R43" s="20"/>
      <c r="S43" s="20"/>
      <c r="T43" s="20"/>
      <c r="U43" s="20"/>
      <c r="V43" s="20"/>
      <c r="W43" s="20"/>
      <c r="X43" s="20"/>
      <c r="Y43" s="20"/>
      <c r="Z43" s="20"/>
      <c r="AA43" s="20"/>
      <c r="AB43" s="20"/>
      <c r="AC43" s="54" t="s">
        <v>27</v>
      </c>
      <c r="AD43" s="47">
        <f t="shared" si="4"/>
        <v>1643.33</v>
      </c>
      <c r="AE43" s="2">
        <f t="shared" si="5"/>
        <v>3286.66</v>
      </c>
      <c r="AF43" s="21"/>
      <c r="AG43" s="60"/>
      <c r="AH43" s="60"/>
      <c r="AI43" s="22"/>
      <c r="AJ43" s="22"/>
      <c r="AK43" s="22"/>
      <c r="AL43" s="22"/>
      <c r="AM43" s="22"/>
      <c r="AN43" s="22"/>
      <c r="AO43" s="22"/>
      <c r="AP43" s="22"/>
      <c r="AQ43" s="22"/>
      <c r="AR43" s="22"/>
      <c r="AS43" s="22"/>
      <c r="AT43" s="22"/>
      <c r="AU43" s="22"/>
      <c r="AV43" s="22"/>
      <c r="AW43" s="22"/>
      <c r="AX43" s="22"/>
      <c r="AY43" s="22"/>
      <c r="AZ43" s="22"/>
      <c r="BA43" s="22"/>
      <c r="BB43" s="22"/>
      <c r="BC43" s="22"/>
      <c r="BD43" s="22"/>
      <c r="BE43" s="22"/>
      <c r="BF43" s="22"/>
    </row>
    <row r="44" spans="1:58" s="23" customFormat="1" ht="63.75" x14ac:dyDescent="0.2">
      <c r="A44" s="42">
        <v>34</v>
      </c>
      <c r="B44" s="84" t="s">
        <v>72</v>
      </c>
      <c r="C44" s="81" t="s">
        <v>47</v>
      </c>
      <c r="D44" s="52" t="s">
        <v>26</v>
      </c>
      <c r="E44" s="52">
        <v>2</v>
      </c>
      <c r="F44" s="52">
        <f>ROUND((1599/1.1),2)</f>
        <v>1453.64</v>
      </c>
      <c r="G44" s="52">
        <f>ROUND((1643/1.1),2)</f>
        <v>1493.64</v>
      </c>
      <c r="H44" s="52">
        <f>ROUND((1688/1.1),2)</f>
        <v>1534.55</v>
      </c>
      <c r="I44" s="17">
        <f t="shared" si="1"/>
        <v>1493.94</v>
      </c>
      <c r="J44" s="18">
        <f t="shared" si="0"/>
        <v>40.455853099397054</v>
      </c>
      <c r="K44" s="19">
        <f t="shared" si="2"/>
        <v>2.7079911259515334E-2</v>
      </c>
      <c r="L44" s="19"/>
      <c r="M44" s="18"/>
      <c r="N44" s="20"/>
      <c r="O44" s="20"/>
      <c r="P44" s="20"/>
      <c r="Q44" s="20"/>
      <c r="R44" s="20"/>
      <c r="S44" s="20"/>
      <c r="T44" s="20"/>
      <c r="U44" s="20"/>
      <c r="V44" s="20"/>
      <c r="W44" s="20"/>
      <c r="X44" s="20"/>
      <c r="Y44" s="20"/>
      <c r="Z44" s="20"/>
      <c r="AA44" s="20"/>
      <c r="AB44" s="20"/>
      <c r="AC44" s="54" t="s">
        <v>27</v>
      </c>
      <c r="AD44" s="47">
        <f t="shared" si="4"/>
        <v>1643.33</v>
      </c>
      <c r="AE44" s="2">
        <f t="shared" si="5"/>
        <v>3286.66</v>
      </c>
      <c r="AF44" s="21"/>
      <c r="AG44" s="60"/>
      <c r="AH44" s="60"/>
      <c r="AI44" s="22"/>
      <c r="AJ44" s="22"/>
      <c r="AK44" s="22"/>
      <c r="AL44" s="22"/>
      <c r="AM44" s="22"/>
      <c r="AN44" s="22"/>
      <c r="AO44" s="22"/>
      <c r="AP44" s="22"/>
      <c r="AQ44" s="22"/>
      <c r="AR44" s="22"/>
      <c r="AS44" s="22"/>
      <c r="AT44" s="22"/>
      <c r="AU44" s="22"/>
      <c r="AV44" s="22"/>
      <c r="AW44" s="22"/>
      <c r="AX44" s="22"/>
      <c r="AY44" s="22"/>
      <c r="AZ44" s="22"/>
      <c r="BA44" s="22"/>
      <c r="BB44" s="22"/>
      <c r="BC44" s="22"/>
      <c r="BD44" s="22"/>
      <c r="BE44" s="22"/>
      <c r="BF44" s="22"/>
    </row>
    <row r="45" spans="1:58" s="23" customFormat="1" ht="42.75" customHeight="1" x14ac:dyDescent="0.2">
      <c r="A45" s="42">
        <v>35</v>
      </c>
      <c r="B45" s="84" t="s">
        <v>73</v>
      </c>
      <c r="C45" s="81" t="s">
        <v>44</v>
      </c>
      <c r="D45" s="52" t="s">
        <v>25</v>
      </c>
      <c r="E45" s="52">
        <v>7</v>
      </c>
      <c r="F45" s="52">
        <f>ROUND((2865/1.1),2)</f>
        <v>2604.5500000000002</v>
      </c>
      <c r="G45" s="52">
        <f>ROUND((2946/1.1),2)</f>
        <v>2678.18</v>
      </c>
      <c r="H45" s="52">
        <f>ROUND((3026/1.1),2)</f>
        <v>2750.91</v>
      </c>
      <c r="I45" s="17">
        <f t="shared" si="1"/>
        <v>2677.88</v>
      </c>
      <c r="J45" s="18">
        <f t="shared" si="0"/>
        <v>73.180461190128995</v>
      </c>
      <c r="K45" s="19">
        <f t="shared" si="2"/>
        <v>2.7327759716689697E-2</v>
      </c>
      <c r="L45" s="19"/>
      <c r="M45" s="18"/>
      <c r="N45" s="20"/>
      <c r="O45" s="20"/>
      <c r="P45" s="20"/>
      <c r="Q45" s="20"/>
      <c r="R45" s="20"/>
      <c r="S45" s="20"/>
      <c r="T45" s="20"/>
      <c r="U45" s="20"/>
      <c r="V45" s="20"/>
      <c r="W45" s="20"/>
      <c r="X45" s="20"/>
      <c r="Y45" s="20"/>
      <c r="Z45" s="20"/>
      <c r="AA45" s="20"/>
      <c r="AB45" s="20"/>
      <c r="AC45" s="54" t="s">
        <v>27</v>
      </c>
      <c r="AD45" s="47">
        <f t="shared" si="4"/>
        <v>2945.67</v>
      </c>
      <c r="AE45" s="2">
        <f t="shared" si="5"/>
        <v>20619.690000000002</v>
      </c>
      <c r="AF45" s="21"/>
      <c r="AG45" s="60"/>
      <c r="AH45" s="60"/>
      <c r="AI45" s="22"/>
      <c r="AJ45" s="22"/>
      <c r="AK45" s="22"/>
      <c r="AL45" s="22"/>
      <c r="AM45" s="22"/>
      <c r="AN45" s="22"/>
      <c r="AO45" s="22"/>
      <c r="AP45" s="22"/>
      <c r="AQ45" s="22"/>
      <c r="AR45" s="22"/>
      <c r="AS45" s="22"/>
      <c r="AT45" s="22"/>
      <c r="AU45" s="22"/>
      <c r="AV45" s="22"/>
      <c r="AW45" s="22"/>
      <c r="AX45" s="22"/>
      <c r="AY45" s="22"/>
      <c r="AZ45" s="22"/>
      <c r="BA45" s="22"/>
      <c r="BB45" s="22"/>
      <c r="BC45" s="22"/>
      <c r="BD45" s="22"/>
      <c r="BE45" s="22"/>
      <c r="BF45" s="22"/>
    </row>
    <row r="46" spans="1:58" s="23" customFormat="1" ht="39.75" customHeight="1" x14ac:dyDescent="0.2">
      <c r="A46" s="42">
        <v>36</v>
      </c>
      <c r="B46" s="84" t="s">
        <v>74</v>
      </c>
      <c r="C46" s="81" t="s">
        <v>44</v>
      </c>
      <c r="D46" s="52" t="s">
        <v>26</v>
      </c>
      <c r="E46" s="52">
        <v>4</v>
      </c>
      <c r="F46" s="52">
        <f>ROUND((2766/1.1),2)</f>
        <v>2514.5500000000002</v>
      </c>
      <c r="G46" s="52">
        <f>ROUND((2844/1.1),2)</f>
        <v>2585.4499999999998</v>
      </c>
      <c r="H46" s="52">
        <f>ROUND((2921/1.1),2)</f>
        <v>2655.45</v>
      </c>
      <c r="I46" s="17">
        <f t="shared" ref="I46" si="6">ROUND((AVERAGEA(F46:H46)),2)</f>
        <v>2585.15</v>
      </c>
      <c r="J46" s="18">
        <f t="shared" ref="J46" si="7">SQRT(((SUM((POWER(H46-I46,2)),(POWER(G46-I46,2)),(POWER(F46-I46,2)))/(COLUMNS(F46:H46)-1))))</f>
        <v>70.45047906153637</v>
      </c>
      <c r="K46" s="19">
        <f t="shared" ref="K46" si="8">STDEV(F46:H46)/AVERAGEA(F46:H46)</f>
        <v>2.7251988883251019E-2</v>
      </c>
      <c r="L46" s="19"/>
      <c r="M46" s="18"/>
      <c r="N46" s="20"/>
      <c r="O46" s="20"/>
      <c r="P46" s="20"/>
      <c r="Q46" s="20"/>
      <c r="R46" s="20"/>
      <c r="S46" s="20"/>
      <c r="T46" s="20"/>
      <c r="U46" s="20"/>
      <c r="V46" s="20"/>
      <c r="W46" s="20"/>
      <c r="X46" s="20"/>
      <c r="Y46" s="20"/>
      <c r="Z46" s="20"/>
      <c r="AA46" s="20"/>
      <c r="AB46" s="20"/>
      <c r="AC46" s="54" t="s">
        <v>27</v>
      </c>
      <c r="AD46" s="47">
        <f t="shared" ref="AD46" si="9">ROUND((I46*AC46),2)+I46</f>
        <v>2843.67</v>
      </c>
      <c r="AE46" s="2">
        <f t="shared" ref="AE46" si="10">AD46*E46</f>
        <v>11374.68</v>
      </c>
      <c r="AF46" s="21"/>
      <c r="AG46" s="60"/>
      <c r="AH46" s="60"/>
      <c r="AI46" s="22"/>
      <c r="AJ46" s="22"/>
      <c r="AK46" s="22"/>
      <c r="AL46" s="22"/>
      <c r="AM46" s="22"/>
      <c r="AN46" s="22"/>
      <c r="AO46" s="22"/>
      <c r="AP46" s="22"/>
      <c r="AQ46" s="22"/>
      <c r="AR46" s="22"/>
      <c r="AS46" s="22"/>
      <c r="AT46" s="22"/>
      <c r="AU46" s="22"/>
      <c r="AV46" s="22"/>
      <c r="AW46" s="22"/>
      <c r="AX46" s="22"/>
      <c r="AY46" s="22"/>
      <c r="AZ46" s="22"/>
      <c r="BA46" s="22"/>
      <c r="BB46" s="22"/>
      <c r="BC46" s="22"/>
      <c r="BD46" s="22"/>
      <c r="BE46" s="22"/>
      <c r="BF46" s="22"/>
    </row>
    <row r="47" spans="1:58" s="23" customFormat="1" ht="63.75" x14ac:dyDescent="0.2">
      <c r="A47" s="42">
        <v>37</v>
      </c>
      <c r="B47" s="84" t="s">
        <v>75</v>
      </c>
      <c r="C47" s="81" t="s">
        <v>29</v>
      </c>
      <c r="D47" s="52" t="s">
        <v>26</v>
      </c>
      <c r="E47" s="52">
        <v>2</v>
      </c>
      <c r="F47" s="52">
        <f>ROUND((2022/1.1),2)</f>
        <v>1838.18</v>
      </c>
      <c r="G47" s="52">
        <f>ROUND((2079/1.1),2)</f>
        <v>1890</v>
      </c>
      <c r="H47" s="52">
        <f>ROUND((2136/1.1),2)</f>
        <v>1941.82</v>
      </c>
      <c r="I47" s="17">
        <f t="shared" ref="I47:I52" si="11">ROUND((AVERAGEA(F47:H47)),2)</f>
        <v>1890</v>
      </c>
      <c r="J47" s="18">
        <f t="shared" ref="J47:J52" si="12">SQRT(((SUM((POWER(H47-I47,2)),(POWER(G47-I47,2)),(POWER(F47-I47,2)))/(COLUMNS(F47:H47)-1))))</f>
        <v>51.819999999999936</v>
      </c>
      <c r="K47" s="19">
        <f t="shared" ref="K47:K52" si="13">STDEV(F47:H47)/AVERAGEA(F47:H47)</f>
        <v>2.7417989417989383E-2</v>
      </c>
      <c r="L47" s="19"/>
      <c r="M47" s="18"/>
      <c r="N47" s="20"/>
      <c r="O47" s="20"/>
      <c r="P47" s="20"/>
      <c r="Q47" s="20"/>
      <c r="R47" s="20"/>
      <c r="S47" s="20"/>
      <c r="T47" s="20"/>
      <c r="U47" s="20"/>
      <c r="V47" s="20"/>
      <c r="W47" s="20"/>
      <c r="X47" s="20"/>
      <c r="Y47" s="20"/>
      <c r="Z47" s="20"/>
      <c r="AA47" s="20"/>
      <c r="AB47" s="20"/>
      <c r="AC47" s="54" t="s">
        <v>27</v>
      </c>
      <c r="AD47" s="47">
        <f t="shared" ref="AD47:AD52" si="14">ROUND((I47*AC47),2)+I47</f>
        <v>2079</v>
      </c>
      <c r="AE47" s="2">
        <f t="shared" ref="AE47:AE52" si="15">AD47*E47</f>
        <v>4158</v>
      </c>
      <c r="AF47" s="21"/>
      <c r="AG47" s="60"/>
      <c r="AH47" s="60"/>
      <c r="AI47" s="22"/>
      <c r="AJ47" s="22"/>
      <c r="AK47" s="22"/>
      <c r="AL47" s="22"/>
      <c r="AM47" s="22"/>
      <c r="AN47" s="22"/>
      <c r="AO47" s="22"/>
      <c r="AP47" s="22"/>
      <c r="AQ47" s="22"/>
      <c r="AR47" s="22"/>
      <c r="AS47" s="22"/>
      <c r="AT47" s="22"/>
      <c r="AU47" s="22"/>
      <c r="AV47" s="22"/>
      <c r="AW47" s="22"/>
      <c r="AX47" s="22"/>
      <c r="AY47" s="22"/>
      <c r="AZ47" s="22"/>
      <c r="BA47" s="22"/>
      <c r="BB47" s="22"/>
      <c r="BC47" s="22"/>
      <c r="BD47" s="22"/>
      <c r="BE47" s="22"/>
      <c r="BF47" s="22"/>
    </row>
    <row r="48" spans="1:58" s="23" customFormat="1" ht="51" x14ac:dyDescent="0.2">
      <c r="A48" s="42">
        <v>38</v>
      </c>
      <c r="B48" s="84" t="s">
        <v>76</v>
      </c>
      <c r="C48" s="81" t="s">
        <v>29</v>
      </c>
      <c r="D48" s="52" t="s">
        <v>25</v>
      </c>
      <c r="E48" s="52">
        <v>3</v>
      </c>
      <c r="F48" s="52">
        <f>ROUND((1766/1.1),2)</f>
        <v>1605.45</v>
      </c>
      <c r="G48" s="52">
        <f>ROUND((1815/1.1),2)</f>
        <v>1650</v>
      </c>
      <c r="H48" s="53">
        <f>ROUND((1865/1.1),2)</f>
        <v>1695.45</v>
      </c>
      <c r="I48" s="17">
        <f t="shared" si="11"/>
        <v>1650.3</v>
      </c>
      <c r="J48" s="18">
        <f t="shared" si="12"/>
        <v>45.000749993750105</v>
      </c>
      <c r="K48" s="19">
        <f t="shared" si="13"/>
        <v>2.7268223955493005E-2</v>
      </c>
      <c r="L48" s="19"/>
      <c r="M48" s="18"/>
      <c r="N48" s="20"/>
      <c r="O48" s="20"/>
      <c r="P48" s="20"/>
      <c r="Q48" s="20"/>
      <c r="R48" s="20"/>
      <c r="S48" s="20"/>
      <c r="T48" s="20"/>
      <c r="U48" s="20"/>
      <c r="V48" s="20"/>
      <c r="W48" s="20"/>
      <c r="X48" s="20"/>
      <c r="Y48" s="20"/>
      <c r="Z48" s="20"/>
      <c r="AA48" s="20"/>
      <c r="AB48" s="20"/>
      <c r="AC48" s="55">
        <v>0.1</v>
      </c>
      <c r="AD48" s="47">
        <f t="shared" si="14"/>
        <v>1815.33</v>
      </c>
      <c r="AE48" s="2">
        <f t="shared" si="15"/>
        <v>5445.99</v>
      </c>
      <c r="AF48" s="21"/>
      <c r="AG48" s="60"/>
      <c r="AH48" s="60"/>
      <c r="AI48" s="22"/>
      <c r="AJ48" s="22"/>
      <c r="AK48" s="22"/>
      <c r="AL48" s="22"/>
      <c r="AM48" s="22"/>
      <c r="AN48" s="22"/>
      <c r="AO48" s="22"/>
      <c r="AP48" s="22"/>
      <c r="AQ48" s="22"/>
      <c r="AR48" s="22"/>
      <c r="AS48" s="22"/>
      <c r="AT48" s="22"/>
      <c r="AU48" s="22"/>
      <c r="AV48" s="22"/>
      <c r="AW48" s="22"/>
      <c r="AX48" s="22"/>
      <c r="AY48" s="22"/>
      <c r="AZ48" s="22"/>
      <c r="BA48" s="22"/>
      <c r="BB48" s="22"/>
      <c r="BC48" s="22"/>
      <c r="BD48" s="22"/>
      <c r="BE48" s="22"/>
      <c r="BF48" s="22"/>
    </row>
    <row r="49" spans="1:58" s="23" customFormat="1" ht="51" x14ac:dyDescent="0.2">
      <c r="A49" s="42">
        <v>39</v>
      </c>
      <c r="B49" s="84" t="s">
        <v>77</v>
      </c>
      <c r="C49" s="82" t="s">
        <v>30</v>
      </c>
      <c r="D49" s="52" t="s">
        <v>26</v>
      </c>
      <c r="E49" s="52">
        <v>3</v>
      </c>
      <c r="F49" s="52">
        <f>ROUND((819/1.1),2)</f>
        <v>744.55</v>
      </c>
      <c r="G49" s="52">
        <f>ROUND((842/1.1),2)</f>
        <v>765.45</v>
      </c>
      <c r="H49" s="52">
        <f>ROUND((864/1.1),2)</f>
        <v>785.45</v>
      </c>
      <c r="I49" s="17">
        <f t="shared" si="11"/>
        <v>765.15</v>
      </c>
      <c r="J49" s="18">
        <f t="shared" si="12"/>
        <v>20.451650300159198</v>
      </c>
      <c r="K49" s="19">
        <f t="shared" si="13"/>
        <v>2.672894242979703E-2</v>
      </c>
      <c r="L49" s="19"/>
      <c r="M49" s="18"/>
      <c r="N49" s="20"/>
      <c r="O49" s="20"/>
      <c r="P49" s="20"/>
      <c r="Q49" s="20"/>
      <c r="R49" s="20"/>
      <c r="S49" s="20"/>
      <c r="T49" s="20"/>
      <c r="U49" s="20"/>
      <c r="V49" s="20"/>
      <c r="W49" s="20"/>
      <c r="X49" s="20"/>
      <c r="Y49" s="20"/>
      <c r="Z49" s="20"/>
      <c r="AA49" s="20"/>
      <c r="AB49" s="20"/>
      <c r="AC49" s="54" t="s">
        <v>27</v>
      </c>
      <c r="AD49" s="47">
        <f t="shared" si="14"/>
        <v>841.67</v>
      </c>
      <c r="AE49" s="2">
        <f t="shared" si="15"/>
        <v>2525.0099999999998</v>
      </c>
      <c r="AF49" s="21"/>
      <c r="AG49" s="60"/>
      <c r="AH49" s="60"/>
      <c r="AI49" s="22"/>
      <c r="AJ49" s="22"/>
      <c r="AK49" s="22"/>
      <c r="AL49" s="22"/>
      <c r="AM49" s="22"/>
      <c r="AN49" s="22"/>
      <c r="AO49" s="22"/>
      <c r="AP49" s="22"/>
      <c r="AQ49" s="22"/>
      <c r="AR49" s="22"/>
      <c r="AS49" s="22"/>
      <c r="AT49" s="22"/>
      <c r="AU49" s="22"/>
      <c r="AV49" s="22"/>
      <c r="AW49" s="22"/>
      <c r="AX49" s="22"/>
      <c r="AY49" s="22"/>
      <c r="AZ49" s="22"/>
      <c r="BA49" s="22"/>
      <c r="BB49" s="22"/>
      <c r="BC49" s="22"/>
      <c r="BD49" s="22"/>
      <c r="BE49" s="22"/>
      <c r="BF49" s="22"/>
    </row>
    <row r="50" spans="1:58" s="23" customFormat="1" ht="38.25" x14ac:dyDescent="0.2">
      <c r="A50" s="42">
        <v>40</v>
      </c>
      <c r="B50" s="84" t="s">
        <v>78</v>
      </c>
      <c r="C50" s="81" t="s">
        <v>44</v>
      </c>
      <c r="D50" s="52" t="s">
        <v>26</v>
      </c>
      <c r="E50" s="52">
        <v>3</v>
      </c>
      <c r="F50" s="52">
        <f>ROUND((529/1.1),2)</f>
        <v>480.91</v>
      </c>
      <c r="G50" s="52">
        <f>ROUND((543/1.1),2)</f>
        <v>493.64</v>
      </c>
      <c r="H50" s="52">
        <f>ROUND((558/1.1),2)</f>
        <v>507.27</v>
      </c>
      <c r="I50" s="17">
        <f t="shared" si="11"/>
        <v>493.94</v>
      </c>
      <c r="J50" s="18">
        <f t="shared" si="12"/>
        <v>13.182560449320892</v>
      </c>
      <c r="K50" s="19">
        <f t="shared" si="13"/>
        <v>2.6688586567844053E-2</v>
      </c>
      <c r="L50" s="19"/>
      <c r="M50" s="18"/>
      <c r="N50" s="20"/>
      <c r="O50" s="20"/>
      <c r="P50" s="20"/>
      <c r="Q50" s="20"/>
      <c r="R50" s="20"/>
      <c r="S50" s="20"/>
      <c r="T50" s="20"/>
      <c r="U50" s="20"/>
      <c r="V50" s="20"/>
      <c r="W50" s="20"/>
      <c r="X50" s="20"/>
      <c r="Y50" s="20"/>
      <c r="Z50" s="20"/>
      <c r="AA50" s="20"/>
      <c r="AB50" s="20"/>
      <c r="AC50" s="54" t="s">
        <v>27</v>
      </c>
      <c r="AD50" s="47">
        <f t="shared" si="14"/>
        <v>543.33000000000004</v>
      </c>
      <c r="AE50" s="2">
        <f t="shared" si="15"/>
        <v>1629.9900000000002</v>
      </c>
      <c r="AF50" s="21"/>
      <c r="AG50" s="60"/>
      <c r="AH50" s="60"/>
      <c r="AI50" s="22"/>
      <c r="AJ50" s="22"/>
      <c r="AK50" s="22"/>
      <c r="AL50" s="22"/>
      <c r="AM50" s="22"/>
      <c r="AN50" s="22"/>
      <c r="AO50" s="22"/>
      <c r="AP50" s="22"/>
      <c r="AQ50" s="22"/>
      <c r="AR50" s="22"/>
      <c r="AS50" s="22"/>
      <c r="AT50" s="22"/>
      <c r="AU50" s="22"/>
      <c r="AV50" s="22"/>
      <c r="AW50" s="22"/>
      <c r="AX50" s="22"/>
      <c r="AY50" s="22"/>
      <c r="AZ50" s="22"/>
      <c r="BA50" s="22"/>
      <c r="BB50" s="22"/>
      <c r="BC50" s="22"/>
      <c r="BD50" s="22"/>
      <c r="BE50" s="22"/>
      <c r="BF50" s="22"/>
    </row>
    <row r="51" spans="1:58" s="23" customFormat="1" ht="38.25" x14ac:dyDescent="0.2">
      <c r="A51" s="42">
        <v>41</v>
      </c>
      <c r="B51" s="84" t="s">
        <v>79</v>
      </c>
      <c r="C51" s="81" t="s">
        <v>44</v>
      </c>
      <c r="D51" s="52" t="s">
        <v>26</v>
      </c>
      <c r="E51" s="52">
        <v>3</v>
      </c>
      <c r="F51" s="52">
        <f>ROUND((529/1.1),2)</f>
        <v>480.91</v>
      </c>
      <c r="G51" s="52">
        <f>ROUND((543/1.1),2)</f>
        <v>493.64</v>
      </c>
      <c r="H51" s="52">
        <f>ROUND((558/1.1),2)</f>
        <v>507.27</v>
      </c>
      <c r="I51" s="17">
        <f t="shared" si="11"/>
        <v>493.94</v>
      </c>
      <c r="J51" s="18">
        <f t="shared" si="12"/>
        <v>13.182560449320892</v>
      </c>
      <c r="K51" s="19">
        <f t="shared" si="13"/>
        <v>2.6688586567844053E-2</v>
      </c>
      <c r="L51" s="19"/>
      <c r="M51" s="18"/>
      <c r="N51" s="20"/>
      <c r="O51" s="20"/>
      <c r="P51" s="20"/>
      <c r="Q51" s="20"/>
      <c r="R51" s="20"/>
      <c r="S51" s="20"/>
      <c r="T51" s="20"/>
      <c r="U51" s="20"/>
      <c r="V51" s="20"/>
      <c r="W51" s="20"/>
      <c r="X51" s="20"/>
      <c r="Y51" s="20"/>
      <c r="Z51" s="20"/>
      <c r="AA51" s="20"/>
      <c r="AB51" s="20"/>
      <c r="AC51" s="54" t="s">
        <v>27</v>
      </c>
      <c r="AD51" s="47">
        <f t="shared" si="14"/>
        <v>543.33000000000004</v>
      </c>
      <c r="AE51" s="2">
        <f t="shared" si="15"/>
        <v>1629.9900000000002</v>
      </c>
      <c r="AF51" s="21"/>
      <c r="AG51" s="60"/>
      <c r="AH51" s="60"/>
      <c r="AI51" s="22"/>
      <c r="AJ51" s="22"/>
      <c r="AK51" s="22"/>
      <c r="AL51" s="22"/>
      <c r="AM51" s="22"/>
      <c r="AN51" s="22"/>
      <c r="AO51" s="22"/>
      <c r="AP51" s="22"/>
      <c r="AQ51" s="22"/>
      <c r="AR51" s="22"/>
      <c r="AS51" s="22"/>
      <c r="AT51" s="22"/>
      <c r="AU51" s="22"/>
      <c r="AV51" s="22"/>
      <c r="AW51" s="22"/>
      <c r="AX51" s="22"/>
      <c r="AY51" s="22"/>
      <c r="AZ51" s="22"/>
      <c r="BA51" s="22"/>
      <c r="BB51" s="22"/>
      <c r="BC51" s="22"/>
      <c r="BD51" s="22"/>
      <c r="BE51" s="22"/>
      <c r="BF51" s="22"/>
    </row>
    <row r="52" spans="1:58" s="23" customFormat="1" ht="51" x14ac:dyDescent="0.2">
      <c r="A52" s="42">
        <v>42</v>
      </c>
      <c r="B52" s="84" t="s">
        <v>80</v>
      </c>
      <c r="C52" s="81" t="s">
        <v>30</v>
      </c>
      <c r="D52" s="52" t="s">
        <v>25</v>
      </c>
      <c r="E52" s="52">
        <v>1</v>
      </c>
      <c r="F52" s="52">
        <f>ROUND((5731/1.1),2)</f>
        <v>5210</v>
      </c>
      <c r="G52" s="52">
        <f>ROUND((5892/1.1),2)</f>
        <v>5356.36</v>
      </c>
      <c r="H52" s="52">
        <f>ROUND((6052/1.1),2)</f>
        <v>5501.82</v>
      </c>
      <c r="I52" s="17">
        <f t="shared" si="11"/>
        <v>5356.06</v>
      </c>
      <c r="J52" s="18">
        <f t="shared" si="12"/>
        <v>145.91023130678656</v>
      </c>
      <c r="K52" s="19">
        <f t="shared" si="13"/>
        <v>2.7242083043652714E-2</v>
      </c>
      <c r="L52" s="19"/>
      <c r="M52" s="18"/>
      <c r="N52" s="20"/>
      <c r="O52" s="20"/>
      <c r="P52" s="20"/>
      <c r="Q52" s="20"/>
      <c r="R52" s="20"/>
      <c r="S52" s="20"/>
      <c r="T52" s="20"/>
      <c r="U52" s="20"/>
      <c r="V52" s="20"/>
      <c r="W52" s="20"/>
      <c r="X52" s="20"/>
      <c r="Y52" s="20"/>
      <c r="Z52" s="20"/>
      <c r="AA52" s="20"/>
      <c r="AB52" s="20"/>
      <c r="AC52" s="54" t="s">
        <v>27</v>
      </c>
      <c r="AD52" s="47">
        <f t="shared" si="14"/>
        <v>5891.67</v>
      </c>
      <c r="AE52" s="2">
        <f t="shared" si="15"/>
        <v>5891.67</v>
      </c>
      <c r="AF52" s="21"/>
      <c r="AG52" s="60"/>
      <c r="AH52" s="60"/>
      <c r="AI52" s="22"/>
      <c r="AJ52" s="22"/>
      <c r="AK52" s="22"/>
      <c r="AL52" s="22"/>
      <c r="AM52" s="22"/>
      <c r="AN52" s="22"/>
      <c r="AO52" s="22"/>
      <c r="AP52" s="22"/>
      <c r="AQ52" s="22"/>
      <c r="AR52" s="22"/>
      <c r="AS52" s="22"/>
      <c r="AT52" s="22"/>
      <c r="AU52" s="22"/>
      <c r="AV52" s="22"/>
      <c r="AW52" s="22"/>
      <c r="AX52" s="22"/>
      <c r="AY52" s="22"/>
      <c r="AZ52" s="22"/>
      <c r="BA52" s="22"/>
      <c r="BB52" s="22"/>
      <c r="BC52" s="22"/>
      <c r="BD52" s="22"/>
      <c r="BE52" s="22"/>
      <c r="BF52" s="22"/>
    </row>
    <row r="53" spans="1:58" x14ac:dyDescent="0.2">
      <c r="A53" s="69" t="s">
        <v>2</v>
      </c>
      <c r="B53" s="70"/>
      <c r="C53" s="70"/>
      <c r="D53" s="70"/>
      <c r="E53" s="70"/>
      <c r="F53" s="70"/>
      <c r="G53" s="70"/>
      <c r="H53" s="70"/>
      <c r="I53" s="70"/>
      <c r="J53" s="70"/>
      <c r="K53" s="70"/>
      <c r="L53" s="70"/>
      <c r="M53" s="27">
        <f>SUM(M11:M18)</f>
        <v>6580</v>
      </c>
      <c r="N53" s="28"/>
      <c r="O53" s="28"/>
      <c r="P53" s="28"/>
      <c r="Q53" s="28"/>
      <c r="R53" s="28"/>
      <c r="S53" s="28"/>
      <c r="T53" s="28"/>
      <c r="U53" s="28"/>
      <c r="V53" s="28"/>
      <c r="W53" s="28"/>
      <c r="X53" s="28"/>
      <c r="Y53" s="28"/>
      <c r="Z53" s="28"/>
      <c r="AA53" s="28"/>
      <c r="AB53" s="28"/>
      <c r="AC53" s="38"/>
      <c r="AD53" s="48"/>
      <c r="AE53" s="56">
        <f>SUM(AE11:AE52)</f>
        <v>467697.92999999993</v>
      </c>
      <c r="AG53" s="12"/>
      <c r="AH53" s="12"/>
    </row>
    <row r="54" spans="1:58" ht="21.75" customHeight="1" x14ac:dyDescent="0.2">
      <c r="A54" s="63" t="s">
        <v>23</v>
      </c>
      <c r="B54" s="64"/>
      <c r="C54" s="64"/>
      <c r="D54" s="64"/>
      <c r="E54" s="64"/>
      <c r="F54" s="64"/>
      <c r="G54" s="64"/>
      <c r="H54" s="51">
        <f>AE53</f>
        <v>467697.92999999993</v>
      </c>
      <c r="I54" s="49" t="s">
        <v>24</v>
      </c>
      <c r="J54" s="49"/>
      <c r="K54" s="49"/>
      <c r="L54" s="49"/>
      <c r="M54" s="49"/>
      <c r="N54" s="49"/>
      <c r="O54" s="49"/>
      <c r="P54" s="49"/>
      <c r="Q54" s="49"/>
      <c r="R54" s="49"/>
      <c r="S54" s="49"/>
      <c r="T54" s="49"/>
      <c r="U54" s="49"/>
      <c r="V54" s="49"/>
      <c r="W54" s="49"/>
      <c r="X54" s="49"/>
      <c r="Y54" s="49"/>
      <c r="Z54" s="49"/>
      <c r="AA54" s="49"/>
      <c r="AB54" s="49"/>
      <c r="AC54" s="49"/>
      <c r="AD54" s="49"/>
    </row>
    <row r="56" spans="1:58" x14ac:dyDescent="0.2">
      <c r="A56" s="29"/>
      <c r="B56" s="44"/>
      <c r="C56" s="44"/>
      <c r="D56" s="29"/>
      <c r="E56" s="29"/>
      <c r="F56" s="29"/>
      <c r="G56" s="29"/>
      <c r="H56" s="30"/>
      <c r="I56" s="30"/>
      <c r="J56" s="31"/>
      <c r="K56" s="31"/>
      <c r="L56" s="31"/>
      <c r="M56" s="31"/>
      <c r="N56" s="31"/>
      <c r="O56" s="31"/>
      <c r="P56" s="31"/>
      <c r="Q56" s="31"/>
      <c r="R56" s="31"/>
      <c r="S56" s="31"/>
      <c r="T56" s="31"/>
      <c r="U56" s="31"/>
      <c r="V56" s="31"/>
      <c r="W56" s="31"/>
      <c r="X56" s="31"/>
      <c r="Y56" s="31"/>
      <c r="Z56" s="31"/>
      <c r="AA56" s="31"/>
      <c r="AB56" s="31"/>
      <c r="AC56" s="21"/>
      <c r="AD56" s="21"/>
    </row>
    <row r="57" spans="1:58" x14ac:dyDescent="0.2">
      <c r="A57" s="32"/>
      <c r="B57" s="44"/>
      <c r="C57" s="44"/>
      <c r="D57" s="29"/>
      <c r="E57" s="29"/>
      <c r="F57" s="29"/>
      <c r="G57" s="29"/>
      <c r="H57" s="30"/>
      <c r="I57" s="30"/>
      <c r="J57" s="31"/>
      <c r="K57" s="31"/>
      <c r="L57" s="31"/>
      <c r="M57" s="31"/>
      <c r="N57" s="31"/>
      <c r="O57" s="31"/>
      <c r="P57" s="31"/>
      <c r="Q57" s="31"/>
      <c r="R57" s="31"/>
      <c r="S57" s="31"/>
      <c r="T57" s="31"/>
      <c r="U57" s="31"/>
      <c r="V57" s="31"/>
      <c r="W57" s="31"/>
      <c r="X57" s="31"/>
      <c r="Y57" s="31"/>
      <c r="Z57" s="31"/>
      <c r="AA57" s="31"/>
      <c r="AB57" s="31"/>
      <c r="AC57" s="21"/>
      <c r="AD57" s="21"/>
    </row>
    <row r="58" spans="1:58" x14ac:dyDescent="0.2">
      <c r="A58" s="32"/>
      <c r="B58" s="44"/>
      <c r="C58" s="44"/>
      <c r="D58" s="29"/>
      <c r="E58" s="29"/>
      <c r="F58" s="29"/>
      <c r="G58" s="29"/>
      <c r="H58" s="30"/>
      <c r="I58" s="30"/>
      <c r="J58" s="31"/>
      <c r="K58" s="31"/>
      <c r="L58" s="31"/>
      <c r="M58" s="31"/>
      <c r="N58" s="31"/>
      <c r="O58" s="31"/>
      <c r="P58" s="31"/>
      <c r="Q58" s="31"/>
      <c r="R58" s="31"/>
      <c r="S58" s="31"/>
      <c r="T58" s="31"/>
      <c r="U58" s="31"/>
      <c r="V58" s="31"/>
      <c r="W58" s="31"/>
      <c r="X58" s="31"/>
      <c r="Y58" s="31"/>
      <c r="Z58" s="31"/>
      <c r="AA58" s="31"/>
      <c r="AB58" s="31"/>
      <c r="AC58" s="21"/>
      <c r="AD58" s="21"/>
    </row>
    <row r="59" spans="1:58" x14ac:dyDescent="0.2">
      <c r="A59" s="29"/>
      <c r="B59" s="44"/>
      <c r="C59" s="44"/>
      <c r="D59" s="29"/>
      <c r="E59" s="29"/>
      <c r="F59" s="29"/>
      <c r="G59" s="29"/>
      <c r="H59" s="30"/>
      <c r="I59" s="30"/>
      <c r="J59" s="31"/>
      <c r="K59" s="31"/>
      <c r="L59" s="31"/>
      <c r="M59" s="31"/>
      <c r="N59" s="31"/>
      <c r="O59" s="31"/>
      <c r="P59" s="31"/>
      <c r="Q59" s="31"/>
      <c r="R59" s="31"/>
      <c r="S59" s="31"/>
      <c r="T59" s="31"/>
      <c r="U59" s="31"/>
      <c r="V59" s="31"/>
      <c r="W59" s="31"/>
      <c r="X59" s="31"/>
      <c r="Y59" s="31"/>
      <c r="Z59" s="31"/>
      <c r="AA59" s="31"/>
      <c r="AB59" s="31"/>
      <c r="AC59" s="21"/>
      <c r="AD59" s="21"/>
    </row>
    <row r="60" spans="1:58" x14ac:dyDescent="0.2">
      <c r="A60" s="29"/>
      <c r="B60" s="44"/>
      <c r="C60" s="44"/>
      <c r="D60" s="29"/>
      <c r="E60" s="29"/>
      <c r="F60" s="29"/>
      <c r="G60" s="29"/>
      <c r="H60" s="30"/>
      <c r="I60" s="30"/>
      <c r="J60" s="31"/>
      <c r="K60" s="31"/>
      <c r="L60" s="31"/>
      <c r="M60" s="31"/>
      <c r="N60" s="31"/>
      <c r="O60" s="31"/>
      <c r="P60" s="31"/>
      <c r="Q60" s="31"/>
      <c r="R60" s="31"/>
      <c r="S60" s="31"/>
      <c r="T60" s="31"/>
      <c r="U60" s="31"/>
      <c r="V60" s="31"/>
      <c r="W60" s="31"/>
      <c r="X60" s="31"/>
      <c r="Y60" s="31"/>
      <c r="Z60" s="31"/>
      <c r="AA60" s="31"/>
      <c r="AB60" s="31"/>
      <c r="AC60" s="21"/>
      <c r="AD60" s="21"/>
    </row>
  </sheetData>
  <autoFilter ref="A9:BF53"/>
  <mergeCells count="20">
    <mergeCell ref="A54:G54"/>
    <mergeCell ref="C8:C9"/>
    <mergeCell ref="AE8:AE9"/>
    <mergeCell ref="A53:L53"/>
    <mergeCell ref="A8:A9"/>
    <mergeCell ref="B8:B9"/>
    <mergeCell ref="E8:E9"/>
    <mergeCell ref="F8:H8"/>
    <mergeCell ref="I8:K8"/>
    <mergeCell ref="L8:L9"/>
    <mergeCell ref="M8:M9"/>
    <mergeCell ref="D8:D9"/>
    <mergeCell ref="AC8:AC9"/>
    <mergeCell ref="AD8:AD9"/>
    <mergeCell ref="J1:AD1"/>
    <mergeCell ref="A5:AD5"/>
    <mergeCell ref="A6:AD7"/>
    <mergeCell ref="A2:AD2"/>
    <mergeCell ref="A3:AD3"/>
    <mergeCell ref="A4:AD4"/>
  </mergeCells>
  <pageMargins left="3.937007874015748E-2" right="3.937007874015748E-2" top="3.937007874015748E-2" bottom="0.19685039370078741" header="0.51181102362204722" footer="0.51181102362204722"/>
  <pageSetup paperSize="9" scale="85" fitToHeight="0" orientation="landscape" useFirstPageNumber="1" horizontalDpi="4294967295" verticalDpi="4294967295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Лист1</vt:lpstr>
      <vt:lpstr>Лист1!Область_печати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Аюпов Дамир Айратович</dc:creator>
  <cp:lastModifiedBy>Экономист</cp:lastModifiedBy>
  <cp:revision>13</cp:revision>
  <cp:lastPrinted>2024-05-20T13:55:23Z</cp:lastPrinted>
  <dcterms:created xsi:type="dcterms:W3CDTF">2014-01-17T11:35:00Z</dcterms:created>
  <dcterms:modified xsi:type="dcterms:W3CDTF">2024-05-22T14:44:13Z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14.0300</vt:lpwstr>
  </property>
  <property fmtid="{D5CDD505-2E9C-101B-9397-08002B2CF9AE}" pid="3" name="DocSecurity">
    <vt:i4>0</vt:i4>
  </property>
  <property fmtid="{D5CDD505-2E9C-101B-9397-08002B2CF9AE}" pid="4" name="Generator">
    <vt:lpwstr>NPOI</vt:lpwstr>
  </property>
  <property fmtid="{D5CDD505-2E9C-101B-9397-08002B2CF9AE}" pid="5" name="Generator Version">
    <vt:lpwstr>2.4.1</vt:lpwstr>
  </property>
  <property fmtid="{D5CDD505-2E9C-101B-9397-08002B2CF9AE}" pid="6" name="HyperlinksChanged">
    <vt:bool>false</vt:bool>
  </property>
  <property fmtid="{D5CDD505-2E9C-101B-9397-08002B2CF9AE}" pid="7" name="KSOProductBuildVer">
    <vt:lpwstr>1049-11.2.0.9718</vt:lpwstr>
  </property>
  <property fmtid="{D5CDD505-2E9C-101B-9397-08002B2CF9AE}" pid="8" name="LinksUpToDate">
    <vt:bool>false</vt:bool>
  </property>
  <property fmtid="{D5CDD505-2E9C-101B-9397-08002B2CF9AE}" pid="9" name="ScaleCrop">
    <vt:bool>false</vt:bool>
  </property>
  <property fmtid="{D5CDD505-2E9C-101B-9397-08002B2CF9AE}" pid="10" name="ShareDoc">
    <vt:bool>false</vt:bool>
  </property>
</Properties>
</file>